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6"/>
  </bookViews>
  <sheets>
    <sheet name="Plan1" sheetId="1" r:id="rId1"/>
    <sheet name="Tabela 6" sheetId="7" r:id="rId2"/>
    <sheet name="Tabela 7 " sheetId="3" r:id="rId3"/>
    <sheet name="Tabela 8" sheetId="6" r:id="rId4"/>
    <sheet name="Tabela 9" sheetId="8" r:id="rId5"/>
    <sheet name="Tabela 10" sheetId="4" r:id="rId6"/>
    <sheet name="APOSTILAMENTO" sheetId="9" r:id="rId7"/>
    <sheet name="Plan2" sheetId="2" r:id="rId8"/>
    <sheet name="Serviços Gerais" sheetId="5" r:id="rId9"/>
  </sheets>
  <definedNames>
    <definedName name="_xlnm.Print_Area" localSheetId="0">'Tabela 6'!$B$5:$Q$11</definedName>
  </definedNames>
  <calcPr calcId="152511"/>
</workbook>
</file>

<file path=xl/calcChain.xml><?xml version="1.0" encoding="utf-8"?>
<calcChain xmlns="http://schemas.openxmlformats.org/spreadsheetml/2006/main">
  <c r="D20" i="9" l="1"/>
  <c r="D19" i="9"/>
  <c r="D25" i="9" s="1"/>
  <c r="F25" i="9"/>
  <c r="D23" i="9"/>
  <c r="E23" i="9" s="1"/>
  <c r="J23" i="9" s="1"/>
  <c r="J25" i="9"/>
  <c r="J24" i="9"/>
  <c r="J22" i="9"/>
  <c r="J21" i="9"/>
  <c r="J20" i="9"/>
  <c r="J10" i="9"/>
  <c r="J12" i="9"/>
  <c r="J11" i="9"/>
  <c r="E10" i="9"/>
  <c r="J9" i="9"/>
  <c r="J8" i="9"/>
  <c r="J7" i="9"/>
  <c r="D6" i="9"/>
  <c r="E6" i="9" s="1"/>
  <c r="E19" i="9" l="1"/>
  <c r="K19" i="5"/>
  <c r="I19" i="5"/>
  <c r="F19" i="5"/>
  <c r="G19" i="5" s="1"/>
  <c r="J19" i="5" l="1"/>
  <c r="L19" i="5" s="1"/>
  <c r="K24" i="7"/>
  <c r="J24" i="7"/>
  <c r="I24" i="7"/>
  <c r="L24" i="7" s="1"/>
  <c r="F24" i="7"/>
  <c r="G24" i="7" s="1"/>
  <c r="K18" i="7"/>
  <c r="I18" i="7"/>
  <c r="F18" i="7"/>
  <c r="G18" i="7" s="1"/>
  <c r="M19" i="5" l="1"/>
  <c r="N19" i="5" s="1"/>
  <c r="M24" i="7"/>
  <c r="N24" i="7" s="1"/>
  <c r="J18" i="7"/>
  <c r="L18" i="7" s="1"/>
  <c r="L11" i="7"/>
  <c r="F11" i="7"/>
  <c r="E11" i="7"/>
  <c r="Q10" i="7"/>
  <c r="Q9" i="7"/>
  <c r="Q11" i="7" s="1"/>
  <c r="Q8" i="7"/>
  <c r="K8" i="7"/>
  <c r="K11" i="7" s="1"/>
  <c r="M18" i="7" l="1"/>
  <c r="N18" i="7" s="1"/>
  <c r="O12" i="4"/>
  <c r="J6" i="4"/>
  <c r="I6" i="4"/>
  <c r="D6" i="4"/>
  <c r="C6" i="4"/>
  <c r="O10" i="4"/>
  <c r="J10" i="4"/>
  <c r="D10" i="4"/>
  <c r="O9" i="6"/>
  <c r="J9" i="6"/>
  <c r="O8" i="6"/>
  <c r="J8" i="6"/>
  <c r="K6" i="5" l="1"/>
  <c r="I6" i="5"/>
  <c r="G6" i="5"/>
  <c r="F6" i="5"/>
  <c r="K12" i="5"/>
  <c r="I12" i="5"/>
  <c r="J12" i="5" s="1"/>
  <c r="F12" i="5"/>
  <c r="G12" i="5" s="1"/>
  <c r="O11" i="4"/>
  <c r="O9" i="4"/>
  <c r="O8" i="4"/>
  <c r="O7" i="4"/>
  <c r="K10" i="3"/>
  <c r="P10" i="3" s="1"/>
  <c r="P9" i="3"/>
  <c r="P8" i="3"/>
  <c r="P7" i="3"/>
  <c r="T22" i="2"/>
  <c r="T21" i="2"/>
  <c r="T20" i="2"/>
  <c r="T19" i="2"/>
  <c r="J6" i="5" l="1"/>
  <c r="L6" i="5" s="1"/>
  <c r="M6" i="5" s="1"/>
  <c r="N6" i="5" s="1"/>
  <c r="L12" i="5"/>
  <c r="M12" i="5" s="1"/>
  <c r="N12" i="5" s="1"/>
  <c r="L22" i="2"/>
  <c r="L21" i="2"/>
  <c r="L20" i="2"/>
  <c r="L19" i="2"/>
  <c r="T27" i="2"/>
  <c r="T24" i="2"/>
  <c r="P19" i="2"/>
  <c r="S19" i="2" s="1"/>
  <c r="Q19" i="2"/>
  <c r="O19" i="2"/>
  <c r="O21" i="2"/>
  <c r="O20" i="2"/>
  <c r="O22" i="2"/>
  <c r="S22" i="2" s="1"/>
  <c r="S21" i="2"/>
  <c r="S20" i="2"/>
  <c r="G22" i="2"/>
  <c r="K22" i="2" s="1"/>
  <c r="K21" i="2"/>
  <c r="K20" i="2"/>
  <c r="H19" i="2"/>
  <c r="G19" i="2"/>
  <c r="I19" i="2"/>
  <c r="K19" i="2" s="1"/>
  <c r="V11" i="2"/>
  <c r="V10" i="2"/>
  <c r="V9" i="2"/>
  <c r="V8" i="2"/>
  <c r="O85" i="1"/>
  <c r="O82" i="1"/>
  <c r="O80" i="1"/>
  <c r="E43" i="1" l="1"/>
  <c r="E45" i="1" s="1"/>
  <c r="K42" i="1"/>
  <c r="I42" i="1"/>
  <c r="J42" i="1" s="1"/>
  <c r="F42" i="1"/>
  <c r="G42" i="1" s="1"/>
  <c r="K41" i="1"/>
  <c r="I41" i="1"/>
  <c r="F41" i="1"/>
  <c r="E32" i="1"/>
  <c r="E34" i="1" s="1"/>
  <c r="K31" i="1"/>
  <c r="I31" i="1"/>
  <c r="J31" i="1" s="1"/>
  <c r="F31" i="1"/>
  <c r="G31" i="1" s="1"/>
  <c r="K30" i="1"/>
  <c r="I30" i="1"/>
  <c r="J30" i="1" s="1"/>
  <c r="F30" i="1"/>
  <c r="G30" i="1" s="1"/>
  <c r="F17" i="1"/>
  <c r="G17" i="1" s="1"/>
  <c r="K43" i="1" l="1"/>
  <c r="K45" i="1" s="1"/>
  <c r="F43" i="1"/>
  <c r="F45" i="1" s="1"/>
  <c r="G32" i="1"/>
  <c r="G34" i="1" s="1"/>
  <c r="K32" i="1"/>
  <c r="K34" i="1" s="1"/>
  <c r="F32" i="1"/>
  <c r="F34" i="1" s="1"/>
  <c r="I32" i="1"/>
  <c r="I34" i="1" s="1"/>
  <c r="I43" i="1"/>
  <c r="I45" i="1" s="1"/>
  <c r="L42" i="1"/>
  <c r="M42" i="1" s="1"/>
  <c r="N42" i="1" s="1"/>
  <c r="G41" i="1"/>
  <c r="G43" i="1" s="1"/>
  <c r="G45" i="1" s="1"/>
  <c r="J41" i="1"/>
  <c r="J32" i="1"/>
  <c r="J34" i="1" s="1"/>
  <c r="L30" i="1"/>
  <c r="L31" i="1"/>
  <c r="M31" i="1" s="1"/>
  <c r="N31" i="1" s="1"/>
  <c r="E19" i="1"/>
  <c r="E21" i="1" s="1"/>
  <c r="K18" i="1"/>
  <c r="I18" i="1"/>
  <c r="F18" i="1"/>
  <c r="G18" i="1" s="1"/>
  <c r="K17" i="1"/>
  <c r="I17" i="1"/>
  <c r="J17" i="1" s="1"/>
  <c r="E10" i="1"/>
  <c r="E12" i="1" s="1"/>
  <c r="K9" i="1"/>
  <c r="K10" i="1" s="1"/>
  <c r="K12" i="1" s="1"/>
  <c r="I9" i="1"/>
  <c r="F9" i="1"/>
  <c r="K8" i="1"/>
  <c r="I8" i="1"/>
  <c r="F8" i="1"/>
  <c r="G8" i="1" s="1"/>
  <c r="I10" i="1" l="1"/>
  <c r="I12" i="1" s="1"/>
  <c r="F19" i="1"/>
  <c r="F21" i="1" s="1"/>
  <c r="F10" i="1"/>
  <c r="F12" i="1" s="1"/>
  <c r="K19" i="1"/>
  <c r="K21" i="1" s="1"/>
  <c r="J43" i="1"/>
  <c r="J45" i="1" s="1"/>
  <c r="L41" i="1"/>
  <c r="L43" i="1" s="1"/>
  <c r="L45" i="1" s="1"/>
  <c r="L32" i="1"/>
  <c r="L34" i="1" s="1"/>
  <c r="M30" i="1"/>
  <c r="N30" i="1" s="1"/>
  <c r="G19" i="1"/>
  <c r="G21" i="1" s="1"/>
  <c r="L17" i="1"/>
  <c r="M17" i="1" s="1"/>
  <c r="J8" i="1"/>
  <c r="L8" i="1" s="1"/>
  <c r="M8" i="1" s="1"/>
  <c r="N8" i="1" s="1"/>
  <c r="G9" i="1"/>
  <c r="G10" i="1" s="1"/>
  <c r="G12" i="1" s="1"/>
  <c r="J18" i="1"/>
  <c r="L18" i="1" s="1"/>
  <c r="J9" i="1"/>
  <c r="I19" i="1"/>
  <c r="I21" i="1" s="1"/>
  <c r="J19" i="1" l="1"/>
  <c r="J21" i="1" s="1"/>
  <c r="M41" i="1"/>
  <c r="N32" i="1"/>
  <c r="N34" i="1" s="1"/>
  <c r="M32" i="1"/>
  <c r="M34" i="1" s="1"/>
  <c r="J10" i="1"/>
  <c r="J12" i="1" s="1"/>
  <c r="N17" i="1"/>
  <c r="L9" i="1"/>
  <c r="L10" i="1" s="1"/>
  <c r="L12" i="1" s="1"/>
  <c r="M18" i="1"/>
  <c r="N18" i="1" s="1"/>
  <c r="L19" i="1"/>
  <c r="L21" i="1" s="1"/>
  <c r="M9" i="1" l="1"/>
  <c r="M10" i="1" s="1"/>
  <c r="M12" i="1" s="1"/>
  <c r="M19" i="1"/>
  <c r="M21" i="1" s="1"/>
  <c r="N19" i="1"/>
  <c r="N21" i="1" s="1"/>
  <c r="M43" i="1"/>
  <c r="M45" i="1" s="1"/>
  <c r="N41" i="1"/>
  <c r="N43" i="1" s="1"/>
  <c r="N45" i="1" s="1"/>
  <c r="N9" i="1" l="1"/>
  <c r="N10" i="1" s="1"/>
  <c r="N12" i="1" s="1"/>
</calcChain>
</file>

<file path=xl/sharedStrings.xml><?xml version="1.0" encoding="utf-8"?>
<sst xmlns="http://schemas.openxmlformats.org/spreadsheetml/2006/main" count="584" uniqueCount="125">
  <si>
    <t>Recursos Humanos (CLT) JANEIRO A MAR/2022</t>
  </si>
  <si>
    <t>FUNÇAO</t>
  </si>
  <si>
    <t>QUANTIDADE</t>
  </si>
  <si>
    <t>SALÁRIO</t>
  </si>
  <si>
    <t>FGTS MÊS</t>
  </si>
  <si>
    <t>Total</t>
  </si>
  <si>
    <t>Salario familia</t>
  </si>
  <si>
    <t>FÉRIAS</t>
  </si>
  <si>
    <t>1/3 Férias</t>
  </si>
  <si>
    <t>13º Salário</t>
  </si>
  <si>
    <t>FGTS Férias /13º</t>
  </si>
  <si>
    <t>Total Provisionado</t>
  </si>
  <si>
    <t>Valor Total</t>
  </si>
  <si>
    <t>01/12 AVOS</t>
  </si>
  <si>
    <t>( mês)</t>
  </si>
  <si>
    <t>AUXILIAR DE ESCRITORIO</t>
  </si>
  <si>
    <t>44h semanais</t>
  </si>
  <si>
    <t>FAXINEIRO</t>
  </si>
  <si>
    <t>40h semanais</t>
  </si>
  <si>
    <t>TOTAL</t>
  </si>
  <si>
    <t>Total por 3 meses</t>
  </si>
  <si>
    <r>
      <t xml:space="preserve">Recursos Humanos (CLT)ABRIL á Dezembro/2022 </t>
    </r>
    <r>
      <rPr>
        <b/>
        <sz val="14"/>
        <color rgb="FFFF0000"/>
        <rFont val="Calibri"/>
        <family val="2"/>
        <scheme val="minor"/>
      </rPr>
      <t>COM 9% DE AUMENTO</t>
    </r>
  </si>
  <si>
    <t>Qtde</t>
  </si>
  <si>
    <t xml:space="preserve">TOTAL </t>
  </si>
  <si>
    <t>Vale Refeição</t>
  </si>
  <si>
    <t>AUXILIAR DE ESCRITORIO PLENO</t>
  </si>
  <si>
    <t xml:space="preserve">40h semanais </t>
  </si>
  <si>
    <t>AUXILIAR DE LIMPEZA</t>
  </si>
  <si>
    <t>Total por 9 meses</t>
  </si>
  <si>
    <t>JANE A MAR/2022</t>
  </si>
  <si>
    <r>
      <t xml:space="preserve">Recursos Humanos (CLT) Abril á Dezembro/2023 </t>
    </r>
    <r>
      <rPr>
        <b/>
        <sz val="14"/>
        <color rgb="FFFF0000"/>
        <rFont val="Calibri"/>
        <family val="2"/>
        <scheme val="minor"/>
      </rPr>
      <t>COM 10% DE AUMENTO</t>
    </r>
  </si>
  <si>
    <t>Quant.</t>
  </si>
  <si>
    <t>Profissional</t>
  </si>
  <si>
    <t>Carga horária</t>
  </si>
  <si>
    <t>Recurso Municipal – As. Social</t>
  </si>
  <si>
    <t>Recurso Estadual – As. Social</t>
  </si>
  <si>
    <t>Recurso Federal – As. Social</t>
  </si>
  <si>
    <t>VALOR TOTAL VERBAS</t>
  </si>
  <si>
    <t>Valor</t>
  </si>
  <si>
    <t> Mensal</t>
  </si>
  <si>
    <t>Valor </t>
  </si>
  <si>
    <t>Mensal</t>
  </si>
  <si>
    <t>Valor Mensal</t>
  </si>
  <si>
    <t>Instrutora de Artesanato</t>
  </si>
  <si>
    <t>4h semanais</t>
  </si>
  <si>
    <t>Serviços Gerais</t>
  </si>
  <si>
    <t>Terapeuta Ocupacional</t>
  </si>
  <si>
    <t>2 h semanais</t>
  </si>
  <si>
    <t>Assistente Social</t>
  </si>
  <si>
    <t>5 h semanais</t>
  </si>
  <si>
    <t>Trimestral</t>
  </si>
  <si>
    <t>9 meses</t>
  </si>
  <si>
    <t>Trimestral (Jan - Março)</t>
  </si>
  <si>
    <t>Trimestral  (Jan - Março)</t>
  </si>
  <si>
    <t>9 meses (Abril á Dezembro)</t>
  </si>
  <si>
    <t>ITEM DE DESPESA</t>
  </si>
  <si>
    <t>Gêneros Alimentícios</t>
  </si>
  <si>
    <t>Material de higiene e limpeza</t>
  </si>
  <si>
    <t>Material de escritório</t>
  </si>
  <si>
    <t>        400,00</t>
  </si>
  <si>
    <t>Utilidade Publica</t>
  </si>
  <si>
    <t>1250,00 </t>
  </si>
  <si>
    <t> 9 meses</t>
  </si>
  <si>
    <t>        576,07</t>
  </si>
  <si>
    <t>        1800,00</t>
  </si>
  <si>
    <t>TrimestraL</t>
  </si>
  <si>
    <t>Recursos Humanos</t>
  </si>
  <si>
    <t>Material de Escritório</t>
  </si>
  <si>
    <t>Material de Higiene e Limpeza</t>
  </si>
  <si>
    <t>Serviços de Terceiros</t>
  </si>
  <si>
    <t xml:space="preserve">   R$              216,66</t>
  </si>
  <si>
    <t>   R$                     1949,94</t>
  </si>
  <si>
    <t>FGTS</t>
  </si>
  <si>
    <t>Férias 1/12 avos</t>
  </si>
  <si>
    <t>1/3 férias</t>
  </si>
  <si>
    <t>13o. Salário</t>
  </si>
  <si>
    <t>Nome</t>
  </si>
  <si>
    <t>Cargo</t>
  </si>
  <si>
    <t>H. Semanais</t>
  </si>
  <si>
    <t>Salário Mensal</t>
  </si>
  <si>
    <t>Biênio</t>
  </si>
  <si>
    <t>Salário Total</t>
  </si>
  <si>
    <t>Guias</t>
  </si>
  <si>
    <t>FGTS/ GPS/ Darfs</t>
  </si>
  <si>
    <t>Férias e Encargos</t>
  </si>
  <si>
    <t>Total Geral</t>
  </si>
  <si>
    <t>Miriam Maciel Pedroso</t>
  </si>
  <si>
    <t xml:space="preserve">40 horas </t>
  </si>
  <si>
    <t>Maria Madalena Dornelas Sares</t>
  </si>
  <si>
    <t>4 horas</t>
  </si>
  <si>
    <t>Evandro Caversan de Godoy</t>
  </si>
  <si>
    <t>2 horas</t>
  </si>
  <si>
    <t>Sandra Aparecida Valentin</t>
  </si>
  <si>
    <t>5 horas</t>
  </si>
  <si>
    <t>e Encargos</t>
  </si>
  <si>
    <t xml:space="preserve">13o. Salário </t>
  </si>
  <si>
    <t>Diferença a mais</t>
  </si>
  <si>
    <t>Semanal</t>
  </si>
  <si>
    <t xml:space="preserve">40h </t>
  </si>
  <si>
    <t>2 h</t>
  </si>
  <si>
    <t xml:space="preserve">5 h </t>
  </si>
  <si>
    <t xml:space="preserve"> Mensal</t>
  </si>
  <si>
    <t xml:space="preserve">Valor </t>
  </si>
  <si>
    <t xml:space="preserve"> Trimestral</t>
  </si>
  <si>
    <t xml:space="preserve"> 9 meses</t>
  </si>
  <si>
    <t xml:space="preserve">Recursos Humanos (CLT) Janeiro á Março/2023 </t>
  </si>
  <si>
    <t>Salário Familia</t>
  </si>
  <si>
    <t>Recursos Humanos (CLT) Abril á Dezembro/2023 COM 10% DE AUMENTO</t>
  </si>
  <si>
    <t>SERVIÇOS GERAIS</t>
  </si>
  <si>
    <t xml:space="preserve">MATERIAL DE TERCEIROS PARA O SERVIÇO/PROJETO </t>
  </si>
  <si>
    <t>Trimestrall</t>
  </si>
  <si>
    <t>Serviços de Instrução de Artesanato</t>
  </si>
  <si>
    <t>Tabela 09</t>
  </si>
  <si>
    <t>PAGAMENTOS COM UTILIDADES PÚBLICAS</t>
  </si>
  <si>
    <t>Recursos Próprios</t>
  </si>
  <si>
    <t>Anual</t>
  </si>
  <si>
    <t>Valor Anual</t>
  </si>
  <si>
    <t>Agua</t>
  </si>
  <si>
    <t>Energia</t>
  </si>
  <si>
    <t>Telefone</t>
  </si>
  <si>
    <t>Internet</t>
  </si>
  <si>
    <t>Gás encanado</t>
  </si>
  <si>
    <t>Tabela 08</t>
  </si>
  <si>
    <t>TABELA 6</t>
  </si>
  <si>
    <t>Recursos Humanos (CLT) Abril á Dezembro/2024 COM 10% DE AUMENTO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</si>
</sst>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_-[$R$-416]\ * #,##0.00_-;\-[$R$-416]\ * #,##0.00_-;_-[$R$-416]\ * &quot;-&quot;??_-;_-@_-"/>
  </numFmts>
  <fonts count="31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8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7"/>
      <color rgb="FF000000"/>
      <name val="Arial"/>
      <family val="2"/>
    </font>
    <font>
      <sz val="12"/>
      <color theme="1"/>
      <name val="Times New Roman"/>
      <family val="1"/>
    </font>
    <font>
      <sz val="7"/>
      <color theme="1"/>
      <name val="Arial"/>
      <family val="2"/>
    </font>
    <font>
      <b/>
      <sz val="7"/>
      <color rgb="FF000000"/>
      <name val="Arial"/>
      <family val="2"/>
    </font>
    <font>
      <sz val="8"/>
      <color theme="1"/>
      <name val="Calibri"/>
      <family val="2"/>
      <scheme val="minor"/>
    </font>
    <font>
      <sz val="8"/>
      <color rgb="FF000000"/>
      <name val="Arial"/>
      <family val="2"/>
    </font>
    <font>
      <sz val="8"/>
      <color theme="1"/>
      <name val="Arial"/>
      <family val="2"/>
    </font>
    <font>
      <b/>
      <sz val="12"/>
      <color rgb="FF000000"/>
      <name val="Calibri"/>
      <family val="2"/>
    </font>
    <font>
      <sz val="11"/>
      <color rgb="FF000000"/>
      <name val="Calibri"/>
      <family val="2"/>
      <scheme val="minor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b/>
      <sz val="8"/>
      <color theme="1"/>
      <name val="Arial"/>
      <family val="2"/>
    </font>
    <font>
      <sz val="9"/>
      <name val="Calibri"/>
      <family val="2"/>
      <scheme val="minor"/>
    </font>
    <font>
      <b/>
      <sz val="14"/>
      <name val="Calibri"/>
      <family val="2"/>
      <scheme val="minor"/>
    </font>
    <font>
      <b/>
      <sz val="7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ck">
        <color rgb="FF000000"/>
      </bottom>
      <diagonal/>
    </border>
    <border>
      <left/>
      <right/>
      <top style="medium">
        <color rgb="FF000000"/>
      </top>
      <bottom style="thick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ck">
        <color rgb="FF000000"/>
      </bottom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ck">
        <color rgb="FF000000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rgb="FF000000"/>
      </top>
      <bottom style="thick">
        <color rgb="FF000000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14" fillId="0" borderId="0" applyFont="0" applyFill="0" applyBorder="0" applyAlignment="0" applyProtection="0"/>
  </cellStyleXfs>
  <cellXfs count="257">
    <xf numFmtId="0" fontId="0" fillId="0" borderId="0" xfId="0"/>
    <xf numFmtId="0" fontId="5" fillId="3" borderId="5" xfId="0" applyFont="1" applyFill="1" applyBorder="1" applyAlignment="1">
      <alignment horizontal="center"/>
    </xf>
    <xf numFmtId="0" fontId="5" fillId="3" borderId="7" xfId="0" applyFont="1" applyFill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/>
    </xf>
    <xf numFmtId="9" fontId="5" fillId="3" borderId="9" xfId="0" applyNumberFormat="1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/>
    </xf>
    <xf numFmtId="0" fontId="6" fillId="3" borderId="9" xfId="0" applyFont="1" applyFill="1" applyBorder="1" applyAlignment="1">
      <alignment horizontal="center"/>
    </xf>
    <xf numFmtId="9" fontId="6" fillId="3" borderId="9" xfId="0" applyNumberFormat="1" applyFont="1" applyFill="1" applyBorder="1" applyAlignment="1">
      <alignment horizontal="center"/>
    </xf>
    <xf numFmtId="0" fontId="6" fillId="0" borderId="10" xfId="0" applyFont="1" applyBorder="1"/>
    <xf numFmtId="0" fontId="6" fillId="0" borderId="10" xfId="0" applyFont="1" applyBorder="1" applyAlignment="1">
      <alignment horizontal="center"/>
    </xf>
    <xf numFmtId="164" fontId="7" fillId="0" borderId="10" xfId="0" applyNumberFormat="1" applyFont="1" applyBorder="1" applyAlignment="1">
      <alignment horizontal="center"/>
    </xf>
    <xf numFmtId="164" fontId="7" fillId="4" borderId="10" xfId="0" applyNumberFormat="1" applyFont="1" applyFill="1" applyBorder="1" applyAlignment="1">
      <alignment horizontal="center"/>
    </xf>
    <xf numFmtId="164" fontId="8" fillId="4" borderId="10" xfId="0" applyNumberFormat="1" applyFont="1" applyFill="1" applyBorder="1" applyAlignment="1">
      <alignment horizontal="center"/>
    </xf>
    <xf numFmtId="164" fontId="7" fillId="5" borderId="10" xfId="0" applyNumberFormat="1" applyFont="1" applyFill="1" applyBorder="1" applyAlignment="1">
      <alignment horizontal="center"/>
    </xf>
    <xf numFmtId="44" fontId="9" fillId="0" borderId="10" xfId="0" applyNumberFormat="1" applyFont="1" applyBorder="1"/>
    <xf numFmtId="0" fontId="6" fillId="0" borderId="11" xfId="0" applyFont="1" applyBorder="1"/>
    <xf numFmtId="0" fontId="6" fillId="0" borderId="11" xfId="0" applyFont="1" applyBorder="1" applyAlignment="1">
      <alignment horizontal="center"/>
    </xf>
    <xf numFmtId="164" fontId="7" fillId="0" borderId="11" xfId="0" applyNumberFormat="1" applyFont="1" applyBorder="1" applyAlignment="1">
      <alignment horizontal="center"/>
    </xf>
    <xf numFmtId="164" fontId="7" fillId="4" borderId="11" xfId="0" applyNumberFormat="1" applyFont="1" applyFill="1" applyBorder="1" applyAlignment="1">
      <alignment horizontal="center"/>
    </xf>
    <xf numFmtId="164" fontId="8" fillId="4" borderId="11" xfId="0" applyNumberFormat="1" applyFont="1" applyFill="1" applyBorder="1" applyAlignment="1">
      <alignment horizontal="center"/>
    </xf>
    <xf numFmtId="164" fontId="7" fillId="5" borderId="11" xfId="0" applyNumberFormat="1" applyFont="1" applyFill="1" applyBorder="1" applyAlignment="1">
      <alignment horizontal="center"/>
    </xf>
    <xf numFmtId="44" fontId="9" fillId="0" borderId="11" xfId="0" applyNumberFormat="1" applyFont="1" applyBorder="1"/>
    <xf numFmtId="0" fontId="6" fillId="0" borderId="12" xfId="0" applyFont="1" applyBorder="1"/>
    <xf numFmtId="0" fontId="6" fillId="0" borderId="12" xfId="0" applyFont="1" applyBorder="1" applyAlignment="1">
      <alignment horizontal="center"/>
    </xf>
    <xf numFmtId="164" fontId="6" fillId="0" borderId="12" xfId="0" applyNumberFormat="1" applyFont="1" applyBorder="1" applyAlignment="1">
      <alignment horizontal="center"/>
    </xf>
    <xf numFmtId="164" fontId="6" fillId="4" borderId="12" xfId="0" applyNumberFormat="1" applyFont="1" applyFill="1" applyBorder="1" applyAlignment="1">
      <alignment horizontal="center"/>
    </xf>
    <xf numFmtId="164" fontId="10" fillId="4" borderId="12" xfId="0" applyNumberFormat="1" applyFont="1" applyFill="1" applyBorder="1" applyAlignment="1">
      <alignment horizontal="center"/>
    </xf>
    <xf numFmtId="164" fontId="6" fillId="5" borderId="12" xfId="0" applyNumberFormat="1" applyFont="1" applyFill="1" applyBorder="1" applyAlignment="1">
      <alignment horizontal="center"/>
    </xf>
    <xf numFmtId="44" fontId="11" fillId="0" borderId="12" xfId="0" applyNumberFormat="1" applyFont="1" applyBorder="1"/>
    <xf numFmtId="0" fontId="6" fillId="4" borderId="0" xfId="0" applyFont="1" applyFill="1"/>
    <xf numFmtId="0" fontId="6" fillId="4" borderId="0" xfId="0" applyFont="1" applyFill="1" applyAlignment="1">
      <alignment horizontal="center"/>
    </xf>
    <xf numFmtId="164" fontId="7" fillId="4" borderId="0" xfId="0" applyNumberFormat="1" applyFont="1" applyFill="1" applyAlignment="1">
      <alignment horizontal="center"/>
    </xf>
    <xf numFmtId="44" fontId="9" fillId="4" borderId="0" xfId="0" applyNumberFormat="1" applyFont="1" applyFill="1"/>
    <xf numFmtId="0" fontId="6" fillId="6" borderId="7" xfId="0" applyFont="1" applyFill="1" applyBorder="1"/>
    <xf numFmtId="0" fontId="6" fillId="6" borderId="7" xfId="0" applyFont="1" applyFill="1" applyBorder="1" applyAlignment="1">
      <alignment horizontal="center"/>
    </xf>
    <xf numFmtId="164" fontId="0" fillId="6" borderId="7" xfId="0" applyNumberFormat="1" applyFill="1" applyBorder="1"/>
    <xf numFmtId="44" fontId="0" fillId="6" borderId="13" xfId="0" applyNumberFormat="1" applyFill="1" applyBorder="1"/>
    <xf numFmtId="44" fontId="0" fillId="6" borderId="1" xfId="0" applyNumberFormat="1" applyFont="1" applyFill="1" applyBorder="1"/>
    <xf numFmtId="44" fontId="1" fillId="6" borderId="7" xfId="0" applyNumberFormat="1" applyFont="1" applyFill="1" applyBorder="1"/>
    <xf numFmtId="44" fontId="0" fillId="6" borderId="14" xfId="0" applyNumberFormat="1" applyFill="1" applyBorder="1"/>
    <xf numFmtId="44" fontId="0" fillId="6" borderId="7" xfId="0" applyNumberFormat="1" applyFill="1" applyBorder="1"/>
    <xf numFmtId="164" fontId="2" fillId="5" borderId="7" xfId="0" applyNumberFormat="1" applyFont="1" applyFill="1" applyBorder="1"/>
    <xf numFmtId="44" fontId="2" fillId="6" borderId="7" xfId="0" applyNumberFormat="1" applyFont="1" applyFill="1" applyBorder="1"/>
    <xf numFmtId="0" fontId="6" fillId="3" borderId="8" xfId="0" applyFont="1" applyFill="1" applyBorder="1" applyAlignment="1">
      <alignment horizontal="center"/>
    </xf>
    <xf numFmtId="17" fontId="5" fillId="3" borderId="9" xfId="0" applyNumberFormat="1" applyFont="1" applyFill="1" applyBorder="1" applyAlignment="1">
      <alignment horizontal="center"/>
    </xf>
    <xf numFmtId="164" fontId="7" fillId="5" borderId="16" xfId="0" applyNumberFormat="1" applyFont="1" applyFill="1" applyBorder="1" applyAlignment="1">
      <alignment horizontal="center"/>
    </xf>
    <xf numFmtId="164" fontId="6" fillId="0" borderId="12" xfId="0" applyNumberFormat="1" applyFont="1" applyBorder="1"/>
    <xf numFmtId="44" fontId="6" fillId="0" borderId="12" xfId="0" applyNumberFormat="1" applyFont="1" applyBorder="1" applyAlignment="1">
      <alignment horizontal="center"/>
    </xf>
    <xf numFmtId="44" fontId="6" fillId="5" borderId="12" xfId="0" applyNumberFormat="1" applyFont="1" applyFill="1" applyBorder="1" applyAlignment="1">
      <alignment horizontal="center"/>
    </xf>
    <xf numFmtId="164" fontId="6" fillId="5" borderId="12" xfId="0" applyNumberFormat="1" applyFont="1" applyFill="1" applyBorder="1"/>
    <xf numFmtId="0" fontId="1" fillId="0" borderId="0" xfId="0" applyFont="1"/>
    <xf numFmtId="164" fontId="0" fillId="0" borderId="0" xfId="0" applyNumberFormat="1"/>
    <xf numFmtId="0" fontId="13" fillId="0" borderId="0" xfId="0" applyFont="1" applyAlignment="1">
      <alignment horizontal="center"/>
    </xf>
    <xf numFmtId="0" fontId="6" fillId="6" borderId="0" xfId="0" applyFont="1" applyFill="1" applyBorder="1"/>
    <xf numFmtId="0" fontId="6" fillId="6" borderId="0" xfId="0" applyFont="1" applyFill="1" applyBorder="1" applyAlignment="1">
      <alignment horizontal="center"/>
    </xf>
    <xf numFmtId="164" fontId="0" fillId="6" borderId="0" xfId="0" applyNumberFormat="1" applyFill="1" applyBorder="1"/>
    <xf numFmtId="44" fontId="0" fillId="6" borderId="0" xfId="0" applyNumberFormat="1" applyFill="1" applyBorder="1"/>
    <xf numFmtId="44" fontId="0" fillId="6" borderId="0" xfId="0" applyNumberFormat="1" applyFont="1" applyFill="1" applyBorder="1"/>
    <xf numFmtId="44" fontId="1" fillId="6" borderId="0" xfId="0" applyNumberFormat="1" applyFont="1" applyFill="1" applyBorder="1"/>
    <xf numFmtId="164" fontId="2" fillId="5" borderId="0" xfId="0" applyNumberFormat="1" applyFont="1" applyFill="1" applyBorder="1"/>
    <xf numFmtId="44" fontId="2" fillId="6" borderId="0" xfId="0" applyNumberFormat="1" applyFont="1" applyFill="1" applyBorder="1"/>
    <xf numFmtId="0" fontId="16" fillId="0" borderId="17" xfId="0" applyFont="1" applyBorder="1" applyAlignment="1">
      <alignment horizontal="center" vertical="center" wrapText="1"/>
    </xf>
    <xf numFmtId="0" fontId="16" fillId="0" borderId="24" xfId="0" applyFont="1" applyBorder="1" applyAlignment="1">
      <alignment horizontal="center" vertical="center" wrapText="1"/>
    </xf>
    <xf numFmtId="0" fontId="16" fillId="0" borderId="23" xfId="0" applyFont="1" applyBorder="1" applyAlignment="1">
      <alignment horizontal="center" vertical="center" wrapText="1"/>
    </xf>
    <xf numFmtId="0" fontId="16" fillId="0" borderId="21" xfId="0" applyFont="1" applyBorder="1" applyAlignment="1">
      <alignment horizontal="center" vertical="center" wrapText="1"/>
    </xf>
    <xf numFmtId="0" fontId="16" fillId="0" borderId="22" xfId="0" applyFont="1" applyBorder="1" applyAlignment="1">
      <alignment horizontal="center" vertical="center" wrapText="1"/>
    </xf>
    <xf numFmtId="0" fontId="18" fillId="0" borderId="22" xfId="0" applyFont="1" applyBorder="1" applyAlignment="1">
      <alignment horizontal="center" vertical="center" wrapText="1"/>
    </xf>
    <xf numFmtId="0" fontId="16" fillId="0" borderId="19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0" fontId="16" fillId="0" borderId="26" xfId="0" applyFont="1" applyBorder="1" applyAlignment="1">
      <alignment horizontal="center" vertical="center" wrapText="1"/>
    </xf>
    <xf numFmtId="0" fontId="0" fillId="0" borderId="0" xfId="0" applyBorder="1"/>
    <xf numFmtId="0" fontId="16" fillId="0" borderId="27" xfId="0" applyFont="1" applyBorder="1" applyAlignment="1">
      <alignment horizontal="center" vertical="center" wrapText="1"/>
    </xf>
    <xf numFmtId="0" fontId="16" fillId="0" borderId="31" xfId="0" applyFont="1" applyBorder="1" applyAlignment="1">
      <alignment horizontal="center" vertical="center" wrapText="1"/>
    </xf>
    <xf numFmtId="44" fontId="16" fillId="0" borderId="31" xfId="1" applyFont="1" applyBorder="1" applyAlignment="1">
      <alignment horizontal="center" vertical="center" wrapText="1"/>
    </xf>
    <xf numFmtId="44" fontId="16" fillId="0" borderId="22" xfId="1" applyFont="1" applyBorder="1" applyAlignment="1">
      <alignment horizontal="center" vertical="center" wrapText="1"/>
    </xf>
    <xf numFmtId="0" fontId="15" fillId="0" borderId="28" xfId="0" applyFont="1" applyBorder="1" applyAlignment="1">
      <alignment vertical="center" wrapText="1"/>
    </xf>
    <xf numFmtId="0" fontId="15" fillId="0" borderId="19" xfId="0" applyFont="1" applyBorder="1" applyAlignment="1">
      <alignment vertical="center" wrapText="1"/>
    </xf>
    <xf numFmtId="44" fontId="16" fillId="0" borderId="22" xfId="1" applyFont="1" applyBorder="1" applyAlignment="1">
      <alignment vertical="center" wrapText="1"/>
    </xf>
    <xf numFmtId="44" fontId="0" fillId="0" borderId="0" xfId="1" applyFont="1"/>
    <xf numFmtId="0" fontId="16" fillId="0" borderId="18" xfId="0" applyFont="1" applyBorder="1" applyAlignment="1">
      <alignment horizontal="center" vertical="center" wrapText="1"/>
    </xf>
    <xf numFmtId="0" fontId="16" fillId="0" borderId="28" xfId="0" applyFont="1" applyBorder="1" applyAlignment="1">
      <alignment horizontal="center" vertical="center" wrapText="1"/>
    </xf>
    <xf numFmtId="0" fontId="19" fillId="0" borderId="29" xfId="0" applyFont="1" applyBorder="1" applyAlignment="1">
      <alignment horizontal="justify" vertical="center" wrapText="1"/>
    </xf>
    <xf numFmtId="0" fontId="19" fillId="0" borderId="30" xfId="0" applyFont="1" applyBorder="1" applyAlignment="1">
      <alignment horizontal="justify" vertical="center" wrapText="1"/>
    </xf>
    <xf numFmtId="0" fontId="19" fillId="0" borderId="20" xfId="0" applyFont="1" applyBorder="1" applyAlignment="1">
      <alignment horizontal="justify" vertical="center" wrapText="1"/>
    </xf>
    <xf numFmtId="44" fontId="0" fillId="0" borderId="0" xfId="1" applyFont="1" applyBorder="1"/>
    <xf numFmtId="0" fontId="16" fillId="0" borderId="19" xfId="0" applyFont="1" applyBorder="1" applyAlignment="1">
      <alignment vertical="center" wrapText="1"/>
    </xf>
    <xf numFmtId="0" fontId="17" fillId="0" borderId="0" xfId="0" applyFont="1" applyAlignment="1">
      <alignment vertical="center"/>
    </xf>
    <xf numFmtId="44" fontId="16" fillId="0" borderId="21" xfId="1" applyFont="1" applyFill="1" applyBorder="1" applyAlignment="1">
      <alignment horizontal="center" vertical="center" wrapText="1"/>
    </xf>
    <xf numFmtId="44" fontId="0" fillId="0" borderId="0" xfId="0" applyNumberFormat="1" applyBorder="1"/>
    <xf numFmtId="44" fontId="0" fillId="0" borderId="0" xfId="0" applyNumberFormat="1"/>
    <xf numFmtId="0" fontId="16" fillId="0" borderId="32" xfId="0" applyFont="1" applyBorder="1" applyAlignment="1">
      <alignment horizontal="center" vertical="center" wrapText="1"/>
    </xf>
    <xf numFmtId="0" fontId="16" fillId="0" borderId="33" xfId="0" applyFont="1" applyBorder="1" applyAlignment="1">
      <alignment horizontal="center" vertical="center" wrapText="1"/>
    </xf>
    <xf numFmtId="0" fontId="16" fillId="0" borderId="25" xfId="0" applyFont="1" applyBorder="1" applyAlignment="1">
      <alignment horizontal="center" vertical="center" wrapText="1"/>
    </xf>
    <xf numFmtId="44" fontId="16" fillId="0" borderId="34" xfId="1" applyFont="1" applyBorder="1" applyAlignment="1">
      <alignment horizontal="center" vertical="center" wrapText="1"/>
    </xf>
    <xf numFmtId="44" fontId="16" fillId="0" borderId="35" xfId="1" applyFont="1" applyFill="1" applyBorder="1" applyAlignment="1">
      <alignment horizontal="center" vertical="center" wrapText="1"/>
    </xf>
    <xf numFmtId="44" fontId="16" fillId="0" borderId="36" xfId="1" applyFont="1" applyBorder="1" applyAlignment="1">
      <alignment horizontal="center" vertical="center" wrapText="1"/>
    </xf>
    <xf numFmtId="0" fontId="0" fillId="0" borderId="31" xfId="0" applyBorder="1"/>
    <xf numFmtId="0" fontId="18" fillId="0" borderId="31" xfId="0" applyFont="1" applyBorder="1" applyAlignment="1">
      <alignment horizontal="center" vertical="center" wrapText="1"/>
    </xf>
    <xf numFmtId="0" fontId="0" fillId="0" borderId="31" xfId="0" applyBorder="1" applyAlignment="1">
      <alignment horizontal="left"/>
    </xf>
    <xf numFmtId="44" fontId="7" fillId="0" borderId="0" xfId="1" applyFont="1"/>
    <xf numFmtId="44" fontId="16" fillId="0" borderId="26" xfId="1" applyFont="1" applyBorder="1" applyAlignment="1">
      <alignment horizontal="center" vertical="center" wrapText="1"/>
    </xf>
    <xf numFmtId="44" fontId="7" fillId="0" borderId="8" xfId="1" applyFont="1" applyBorder="1"/>
    <xf numFmtId="44" fontId="7" fillId="0" borderId="31" xfId="1" applyFont="1" applyBorder="1"/>
    <xf numFmtId="0" fontId="16" fillId="0" borderId="4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9" fillId="0" borderId="31" xfId="0" applyFont="1" applyBorder="1" applyAlignment="1">
      <alignment horizontal="center" vertical="center"/>
    </xf>
    <xf numFmtId="0" fontId="20" fillId="0" borderId="31" xfId="0" applyFont="1" applyBorder="1" applyAlignment="1">
      <alignment horizontal="center" vertical="center"/>
    </xf>
    <xf numFmtId="44" fontId="21" fillId="0" borderId="26" xfId="1" applyFont="1" applyBorder="1" applyAlignment="1">
      <alignment horizontal="center" vertical="center" wrapText="1"/>
    </xf>
    <xf numFmtId="44" fontId="22" fillId="0" borderId="31" xfId="1" applyFont="1" applyBorder="1"/>
    <xf numFmtId="44" fontId="21" fillId="0" borderId="31" xfId="1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/>
    </xf>
    <xf numFmtId="0" fontId="2" fillId="0" borderId="38" xfId="0" applyFont="1" applyBorder="1" applyAlignment="1">
      <alignment horizontal="center"/>
    </xf>
    <xf numFmtId="44" fontId="0" fillId="0" borderId="31" xfId="1" applyFont="1" applyBorder="1"/>
    <xf numFmtId="0" fontId="23" fillId="0" borderId="17" xfId="0" applyFont="1" applyBorder="1" applyAlignment="1">
      <alignment horizontal="center" vertical="center" wrapText="1"/>
    </xf>
    <xf numFmtId="0" fontId="0" fillId="0" borderId="31" xfId="0" applyFont="1" applyBorder="1"/>
    <xf numFmtId="0" fontId="24" fillId="0" borderId="22" xfId="0" applyFont="1" applyBorder="1" applyAlignment="1">
      <alignment horizontal="center" vertical="center" wrapText="1"/>
    </xf>
    <xf numFmtId="44" fontId="24" fillId="0" borderId="26" xfId="1" applyFont="1" applyBorder="1" applyAlignment="1">
      <alignment horizontal="center" vertical="center" wrapText="1"/>
    </xf>
    <xf numFmtId="44" fontId="24" fillId="0" borderId="31" xfId="1" applyFont="1" applyBorder="1" applyAlignment="1">
      <alignment horizontal="center" vertical="center" wrapText="1"/>
    </xf>
    <xf numFmtId="44" fontId="24" fillId="0" borderId="22" xfId="1" applyFont="1" applyBorder="1" applyAlignment="1">
      <alignment horizontal="center" vertical="center" wrapText="1"/>
    </xf>
    <xf numFmtId="44" fontId="0" fillId="0" borderId="31" xfId="1" applyFont="1" applyBorder="1" applyAlignment="1">
      <alignment vertical="center"/>
    </xf>
    <xf numFmtId="44" fontId="0" fillId="0" borderId="31" xfId="0" applyNumberFormat="1" applyFont="1" applyBorder="1" applyAlignment="1">
      <alignment vertical="center"/>
    </xf>
    <xf numFmtId="44" fontId="0" fillId="0" borderId="31" xfId="0" applyNumberFormat="1" applyFont="1" applyBorder="1"/>
    <xf numFmtId="0" fontId="24" fillId="0" borderId="22" xfId="0" applyFont="1" applyBorder="1" applyAlignment="1">
      <alignment horizontal="left" vertical="center" wrapText="1"/>
    </xf>
    <xf numFmtId="0" fontId="0" fillId="0" borderId="31" xfId="0" applyFont="1" applyBorder="1" applyAlignment="1">
      <alignment horizontal="left"/>
    </xf>
    <xf numFmtId="0" fontId="24" fillId="0" borderId="19" xfId="0" applyFont="1" applyBorder="1" applyAlignment="1">
      <alignment horizontal="left" vertical="center" wrapText="1"/>
    </xf>
    <xf numFmtId="0" fontId="2" fillId="0" borderId="0" xfId="0" applyFont="1"/>
    <xf numFmtId="44" fontId="2" fillId="0" borderId="0" xfId="0" applyNumberFormat="1" applyFont="1"/>
    <xf numFmtId="44" fontId="0" fillId="2" borderId="31" xfId="1" applyFont="1" applyFill="1" applyBorder="1"/>
    <xf numFmtId="0" fontId="19" fillId="0" borderId="29" xfId="0" applyFont="1" applyBorder="1" applyAlignment="1">
      <alignment horizontal="center" vertical="center" wrapText="1"/>
    </xf>
    <xf numFmtId="0" fontId="16" fillId="0" borderId="38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39" xfId="0" applyFont="1" applyBorder="1" applyAlignment="1">
      <alignment horizontal="center" vertical="center" wrapText="1"/>
    </xf>
    <xf numFmtId="0" fontId="18" fillId="0" borderId="27" xfId="0" applyFont="1" applyBorder="1" applyAlignment="1">
      <alignment horizontal="center" vertical="center" wrapText="1"/>
    </xf>
    <xf numFmtId="0" fontId="18" fillId="0" borderId="40" xfId="0" applyFont="1" applyBorder="1" applyAlignment="1">
      <alignment horizontal="center" vertical="center" wrapText="1"/>
    </xf>
    <xf numFmtId="0" fontId="18" fillId="0" borderId="33" xfId="0" applyFont="1" applyBorder="1" applyAlignment="1">
      <alignment horizontal="center" vertical="center" wrapText="1"/>
    </xf>
    <xf numFmtId="0" fontId="18" fillId="0" borderId="25" xfId="0" applyFont="1" applyBorder="1" applyAlignment="1">
      <alignment horizontal="center" vertical="center" wrapText="1"/>
    </xf>
    <xf numFmtId="0" fontId="18" fillId="0" borderId="25" xfId="0" applyFont="1" applyBorder="1" applyAlignment="1">
      <alignment vertical="center" wrapText="1"/>
    </xf>
    <xf numFmtId="0" fontId="15" fillId="0" borderId="0" xfId="0" applyFont="1" applyAlignment="1">
      <alignment horizontal="justify" vertical="center"/>
    </xf>
    <xf numFmtId="0" fontId="26" fillId="0" borderId="0" xfId="0" applyFont="1" applyAlignment="1">
      <alignment horizontal="justify" vertical="center"/>
    </xf>
    <xf numFmtId="0" fontId="25" fillId="0" borderId="0" xfId="0" applyFont="1" applyAlignment="1">
      <alignment horizontal="justify" vertical="center"/>
    </xf>
    <xf numFmtId="0" fontId="18" fillId="0" borderId="23" xfId="0" applyFont="1" applyBorder="1" applyAlignment="1">
      <alignment horizontal="center" vertical="center" wrapText="1"/>
    </xf>
    <xf numFmtId="44" fontId="18" fillId="0" borderId="25" xfId="1" applyFont="1" applyBorder="1" applyAlignment="1">
      <alignment horizontal="center" vertical="center" wrapText="1"/>
    </xf>
    <xf numFmtId="44" fontId="18" fillId="0" borderId="25" xfId="1" applyFont="1" applyBorder="1" applyAlignment="1">
      <alignment vertical="center" wrapText="1"/>
    </xf>
    <xf numFmtId="44" fontId="18" fillId="0" borderId="19" xfId="1" applyFont="1" applyBorder="1" applyAlignment="1">
      <alignment horizontal="center" vertical="center" wrapText="1"/>
    </xf>
    <xf numFmtId="44" fontId="18" fillId="0" borderId="19" xfId="1" applyFont="1" applyBorder="1" applyAlignment="1">
      <alignment vertical="center" wrapText="1"/>
    </xf>
    <xf numFmtId="0" fontId="18" fillId="0" borderId="42" xfId="0" applyFont="1" applyBorder="1" applyAlignment="1">
      <alignment horizontal="center" vertical="center" wrapText="1"/>
    </xf>
    <xf numFmtId="0" fontId="27" fillId="0" borderId="0" xfId="0" applyFont="1" applyAlignment="1">
      <alignment horizontal="justify" vertical="center"/>
    </xf>
    <xf numFmtId="0" fontId="18" fillId="0" borderId="2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18" fillId="0" borderId="43" xfId="0" applyFont="1" applyBorder="1" applyAlignment="1">
      <alignment horizontal="center" vertical="center" wrapText="1"/>
    </xf>
    <xf numFmtId="44" fontId="18" fillId="0" borderId="42" xfId="1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44" fontId="18" fillId="0" borderId="31" xfId="1" applyFont="1" applyBorder="1" applyAlignment="1">
      <alignment horizontal="center" vertical="center" wrapText="1"/>
    </xf>
    <xf numFmtId="44" fontId="18" fillId="0" borderId="31" xfId="1" applyFont="1" applyBorder="1" applyAlignment="1">
      <alignment vertical="center" wrapText="1"/>
    </xf>
    <xf numFmtId="44" fontId="18" fillId="0" borderId="31" xfId="1" applyFont="1" applyFill="1" applyBorder="1" applyAlignment="1">
      <alignment horizontal="center" vertical="center" wrapText="1"/>
    </xf>
    <xf numFmtId="44" fontId="18" fillId="0" borderId="31" xfId="1" applyFont="1" applyBorder="1"/>
    <xf numFmtId="0" fontId="18" fillId="0" borderId="41" xfId="0" applyFont="1" applyBorder="1" applyAlignment="1">
      <alignment horizontal="center" vertical="center" wrapText="1"/>
    </xf>
    <xf numFmtId="44" fontId="18" fillId="0" borderId="4" xfId="1" applyFont="1" applyBorder="1" applyAlignment="1">
      <alignment horizontal="center" vertical="center" wrapText="1"/>
    </xf>
    <xf numFmtId="44" fontId="18" fillId="0" borderId="4" xfId="1" applyFont="1" applyFill="1" applyBorder="1" applyAlignment="1">
      <alignment horizontal="center" vertical="center" wrapText="1"/>
    </xf>
    <xf numFmtId="0" fontId="5" fillId="3" borderId="31" xfId="0" applyFont="1" applyFill="1" applyBorder="1" applyAlignment="1">
      <alignment horizontal="center"/>
    </xf>
    <xf numFmtId="0" fontId="6" fillId="3" borderId="31" xfId="0" applyFont="1" applyFill="1" applyBorder="1" applyAlignment="1">
      <alignment horizontal="center"/>
    </xf>
    <xf numFmtId="17" fontId="5" fillId="3" borderId="31" xfId="0" applyNumberFormat="1" applyFont="1" applyFill="1" applyBorder="1" applyAlignment="1">
      <alignment horizontal="center"/>
    </xf>
    <xf numFmtId="9" fontId="5" fillId="3" borderId="31" xfId="0" applyNumberFormat="1" applyFont="1" applyFill="1" applyBorder="1" applyAlignment="1">
      <alignment horizontal="center"/>
    </xf>
    <xf numFmtId="9" fontId="6" fillId="3" borderId="31" xfId="0" applyNumberFormat="1" applyFont="1" applyFill="1" applyBorder="1" applyAlignment="1">
      <alignment horizontal="center"/>
    </xf>
    <xf numFmtId="0" fontId="6" fillId="0" borderId="31" xfId="0" applyFont="1" applyBorder="1"/>
    <xf numFmtId="0" fontId="6" fillId="0" borderId="31" xfId="0" applyFont="1" applyBorder="1" applyAlignment="1">
      <alignment horizontal="center"/>
    </xf>
    <xf numFmtId="164" fontId="7" fillId="0" borderId="31" xfId="0" applyNumberFormat="1" applyFont="1" applyBorder="1" applyAlignment="1">
      <alignment horizontal="center"/>
    </xf>
    <xf numFmtId="164" fontId="7" fillId="5" borderId="31" xfId="0" applyNumberFormat="1" applyFont="1" applyFill="1" applyBorder="1" applyAlignment="1">
      <alignment horizontal="center"/>
    </xf>
    <xf numFmtId="164" fontId="8" fillId="4" borderId="31" xfId="0" applyNumberFormat="1" applyFont="1" applyFill="1" applyBorder="1" applyAlignment="1">
      <alignment horizontal="center"/>
    </xf>
    <xf numFmtId="164" fontId="7" fillId="4" borderId="31" xfId="0" applyNumberFormat="1" applyFont="1" applyFill="1" applyBorder="1" applyAlignment="1">
      <alignment horizontal="center"/>
    </xf>
    <xf numFmtId="44" fontId="9" fillId="0" borderId="31" xfId="0" applyNumberFormat="1" applyFont="1" applyFill="1" applyBorder="1"/>
    <xf numFmtId="164" fontId="28" fillId="4" borderId="11" xfId="0" applyNumberFormat="1" applyFont="1" applyFill="1" applyBorder="1" applyAlignment="1">
      <alignment horizontal="center"/>
    </xf>
    <xf numFmtId="44" fontId="16" fillId="0" borderId="0" xfId="1" applyFont="1" applyBorder="1" applyAlignment="1">
      <alignment vertical="center" wrapText="1"/>
    </xf>
    <xf numFmtId="0" fontId="15" fillId="0" borderId="0" xfId="0" applyFont="1" applyBorder="1" applyAlignment="1">
      <alignment horizontal="justify" vertical="center"/>
    </xf>
    <xf numFmtId="0" fontId="27" fillId="0" borderId="0" xfId="0" applyFont="1" applyBorder="1" applyAlignment="1">
      <alignment vertical="center" wrapText="1"/>
    </xf>
    <xf numFmtId="44" fontId="18" fillId="0" borderId="45" xfId="1" applyFont="1" applyFill="1" applyBorder="1" applyAlignment="1">
      <alignment horizontal="center" vertical="center" wrapText="1"/>
    </xf>
    <xf numFmtId="0" fontId="0" fillId="0" borderId="47" xfId="0" applyBorder="1"/>
    <xf numFmtId="0" fontId="27" fillId="0" borderId="14" xfId="0" applyFont="1" applyBorder="1" applyAlignment="1">
      <alignment vertical="center" wrapText="1"/>
    </xf>
    <xf numFmtId="0" fontId="18" fillId="0" borderId="0" xfId="0" applyFont="1" applyBorder="1" applyAlignment="1">
      <alignment horizontal="center" vertical="center" wrapText="1"/>
    </xf>
    <xf numFmtId="0" fontId="0" fillId="0" borderId="47" xfId="0" applyBorder="1" applyAlignment="1">
      <alignment horizontal="center"/>
    </xf>
    <xf numFmtId="0" fontId="0" fillId="0" borderId="46" xfId="0" applyBorder="1"/>
    <xf numFmtId="0" fontId="18" fillId="0" borderId="9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18" fillId="0" borderId="52" xfId="0" applyFont="1" applyBorder="1" applyAlignment="1">
      <alignment horizontal="center" vertical="center" wrapText="1"/>
    </xf>
    <xf numFmtId="0" fontId="18" fillId="0" borderId="49" xfId="0" applyFont="1" applyBorder="1" applyAlignment="1">
      <alignment horizontal="center" vertical="center" wrapText="1"/>
    </xf>
    <xf numFmtId="0" fontId="18" fillId="0" borderId="48" xfId="0" applyFont="1" applyBorder="1" applyAlignment="1">
      <alignment horizontal="center" vertical="center" wrapText="1"/>
    </xf>
    <xf numFmtId="0" fontId="18" fillId="0" borderId="46" xfId="0" applyFont="1" applyBorder="1" applyAlignment="1">
      <alignment horizontal="center" vertical="center" wrapText="1"/>
    </xf>
    <xf numFmtId="44" fontId="18" fillId="0" borderId="48" xfId="1" applyFont="1" applyBorder="1" applyAlignment="1">
      <alignment horizontal="center" vertical="center" wrapText="1"/>
    </xf>
    <xf numFmtId="44" fontId="18" fillId="0" borderId="5" xfId="1" applyFont="1" applyBorder="1" applyAlignment="1">
      <alignment horizontal="center" vertical="center" wrapText="1"/>
    </xf>
    <xf numFmtId="44" fontId="18" fillId="0" borderId="49" xfId="1" applyFont="1" applyBorder="1" applyAlignment="1">
      <alignment horizontal="center" vertical="center" wrapText="1"/>
    </xf>
    <xf numFmtId="0" fontId="18" fillId="0" borderId="47" xfId="0" applyFont="1" applyBorder="1" applyAlignment="1">
      <alignment horizontal="center" vertical="center" wrapText="1"/>
    </xf>
    <xf numFmtId="44" fontId="18" fillId="0" borderId="7" xfId="1" applyFont="1" applyBorder="1" applyAlignment="1">
      <alignment horizontal="center" vertical="center" wrapText="1"/>
    </xf>
    <xf numFmtId="44" fontId="18" fillId="0" borderId="47" xfId="1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44" fontId="18" fillId="0" borderId="14" xfId="1" applyFont="1" applyBorder="1" applyAlignment="1">
      <alignment horizontal="center" vertical="center" wrapText="1"/>
    </xf>
    <xf numFmtId="44" fontId="18" fillId="0" borderId="49" xfId="0" applyNumberFormat="1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0" fillId="0" borderId="5" xfId="0" applyBorder="1" applyAlignment="1">
      <alignment vertical="center" wrapText="1"/>
    </xf>
    <xf numFmtId="0" fontId="30" fillId="0" borderId="7" xfId="0" applyFont="1" applyBorder="1" applyAlignment="1">
      <alignment horizontal="justify" vertical="center" wrapText="1"/>
    </xf>
    <xf numFmtId="0" fontId="18" fillId="0" borderId="7" xfId="0" applyFont="1" applyBorder="1" applyAlignment="1">
      <alignment horizontal="justify" vertical="center" wrapText="1"/>
    </xf>
    <xf numFmtId="44" fontId="22" fillId="0" borderId="7" xfId="0" applyNumberFormat="1" applyFont="1" applyBorder="1"/>
    <xf numFmtId="44" fontId="22" fillId="0" borderId="49" xfId="0" applyNumberFormat="1" applyFont="1" applyBorder="1"/>
    <xf numFmtId="44" fontId="9" fillId="0" borderId="11" xfId="0" applyNumberFormat="1" applyFont="1" applyFill="1" applyBorder="1"/>
    <xf numFmtId="0" fontId="30" fillId="0" borderId="25" xfId="0" applyFont="1" applyBorder="1" applyAlignment="1">
      <alignment vertical="center" wrapText="1"/>
    </xf>
    <xf numFmtId="0" fontId="27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18" fillId="0" borderId="37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0" fontId="18" fillId="0" borderId="38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0" fontId="16" fillId="0" borderId="0" xfId="0" applyFont="1" applyBorder="1" applyAlignment="1">
      <alignment vertical="center" wrapText="1"/>
    </xf>
    <xf numFmtId="0" fontId="16" fillId="0" borderId="29" xfId="0" applyFont="1" applyBorder="1" applyAlignment="1">
      <alignment horizontal="center" vertical="center" wrapText="1"/>
    </xf>
    <xf numFmtId="0" fontId="16" fillId="0" borderId="20" xfId="0" applyFont="1" applyBorder="1" applyAlignment="1">
      <alignment horizontal="center" vertical="center" wrapText="1"/>
    </xf>
    <xf numFmtId="0" fontId="16" fillId="0" borderId="17" xfId="0" applyFont="1" applyBorder="1" applyAlignment="1">
      <alignment horizontal="center" vertical="center" wrapText="1"/>
    </xf>
    <xf numFmtId="0" fontId="16" fillId="0" borderId="18" xfId="0" applyFont="1" applyBorder="1" applyAlignment="1">
      <alignment horizontal="center" vertical="center" wrapText="1"/>
    </xf>
    <xf numFmtId="0" fontId="16" fillId="0" borderId="19" xfId="0" applyFont="1" applyBorder="1" applyAlignment="1">
      <alignment horizontal="center" vertical="center" wrapText="1"/>
    </xf>
    <xf numFmtId="0" fontId="15" fillId="0" borderId="0" xfId="0" applyFont="1" applyBorder="1" applyAlignment="1">
      <alignment vertical="center" wrapText="1"/>
    </xf>
    <xf numFmtId="0" fontId="16" fillId="0" borderId="27" xfId="0" applyFont="1" applyBorder="1" applyAlignment="1">
      <alignment horizontal="center" vertical="center" wrapText="1"/>
    </xf>
    <xf numFmtId="0" fontId="16" fillId="0" borderId="23" xfId="0" applyFont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/>
    </xf>
    <xf numFmtId="0" fontId="4" fillId="3" borderId="15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/>
    </xf>
    <xf numFmtId="0" fontId="6" fillId="3" borderId="8" xfId="0" applyFont="1" applyFill="1" applyBorder="1" applyAlignment="1">
      <alignment horizontal="center"/>
    </xf>
    <xf numFmtId="0" fontId="4" fillId="3" borderId="31" xfId="0" applyFont="1" applyFill="1" applyBorder="1" applyAlignment="1">
      <alignment horizontal="center"/>
    </xf>
    <xf numFmtId="0" fontId="29" fillId="3" borderId="31" xfId="0" applyFont="1" applyFill="1" applyBorder="1" applyAlignment="1">
      <alignment horizontal="center"/>
    </xf>
    <xf numFmtId="0" fontId="18" fillId="0" borderId="17" xfId="0" applyFont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 wrapText="1"/>
    </xf>
    <xf numFmtId="0" fontId="18" fillId="0" borderId="19" xfId="0" applyFont="1" applyBorder="1" applyAlignment="1">
      <alignment horizontal="center" vertical="center" wrapText="1"/>
    </xf>
    <xf numFmtId="0" fontId="18" fillId="0" borderId="27" xfId="0" applyFont="1" applyBorder="1" applyAlignment="1">
      <alignment horizontal="center" vertical="center" wrapText="1"/>
    </xf>
    <xf numFmtId="0" fontId="18" fillId="0" borderId="23" xfId="0" applyFont="1" applyBorder="1" applyAlignment="1">
      <alignment horizontal="center" vertical="center" wrapText="1"/>
    </xf>
    <xf numFmtId="0" fontId="18" fillId="0" borderId="28" xfId="0" applyFont="1" applyBorder="1" applyAlignment="1">
      <alignment horizontal="center" vertical="center" wrapText="1"/>
    </xf>
    <xf numFmtId="0" fontId="27" fillId="0" borderId="13" xfId="0" applyFont="1" applyBorder="1" applyAlignment="1">
      <alignment horizontal="center" vertical="center" wrapText="1"/>
    </xf>
    <xf numFmtId="0" fontId="27" fillId="0" borderId="50" xfId="0" applyFont="1" applyBorder="1" applyAlignment="1">
      <alignment horizontal="center" vertical="center" wrapText="1"/>
    </xf>
    <xf numFmtId="0" fontId="18" fillId="0" borderId="51" xfId="0" applyFont="1" applyBorder="1" applyAlignment="1">
      <alignment horizontal="center" vertical="center" wrapText="1"/>
    </xf>
    <xf numFmtId="0" fontId="18" fillId="0" borderId="46" xfId="0" applyFont="1" applyBorder="1" applyAlignment="1">
      <alignment horizontal="center" vertical="center" wrapText="1"/>
    </xf>
    <xf numFmtId="0" fontId="18" fillId="0" borderId="50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0" fontId="18" fillId="0" borderId="29" xfId="0" applyFont="1" applyBorder="1" applyAlignment="1">
      <alignment horizontal="center" vertical="center" wrapText="1"/>
    </xf>
    <xf numFmtId="0" fontId="18" fillId="0" borderId="30" xfId="0" applyFont="1" applyBorder="1" applyAlignment="1">
      <alignment horizontal="center" vertical="center" wrapText="1"/>
    </xf>
    <xf numFmtId="0" fontId="18" fillId="0" borderId="20" xfId="0" applyFont="1" applyBorder="1" applyAlignment="1">
      <alignment horizontal="center" vertical="center" wrapText="1"/>
    </xf>
    <xf numFmtId="0" fontId="18" fillId="0" borderId="44" xfId="0" applyFont="1" applyBorder="1" applyAlignment="1">
      <alignment horizontal="center" vertical="center" wrapText="1"/>
    </xf>
    <xf numFmtId="0" fontId="18" fillId="0" borderId="37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0" fontId="18" fillId="0" borderId="38" xfId="0" applyFont="1" applyBorder="1" applyAlignment="1">
      <alignment horizontal="center" vertical="center" wrapText="1"/>
    </xf>
    <xf numFmtId="0" fontId="16" fillId="0" borderId="3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8" fillId="0" borderId="36" xfId="0" applyFont="1" applyBorder="1" applyAlignment="1">
      <alignment horizontal="center" vertical="center" wrapText="1"/>
    </xf>
    <xf numFmtId="44" fontId="18" fillId="2" borderId="31" xfId="1" applyFont="1" applyFill="1" applyBorder="1" applyAlignment="1">
      <alignment horizontal="center" vertical="center" wrapText="1"/>
    </xf>
    <xf numFmtId="44" fontId="18" fillId="2" borderId="4" xfId="1" applyFont="1" applyFill="1" applyBorder="1" applyAlignment="1">
      <alignment horizontal="center" vertical="center" wrapText="1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R93"/>
  <sheetViews>
    <sheetView topLeftCell="A76" workbookViewId="0">
      <selection activeCell="D56" sqref="D56"/>
    </sheetView>
  </sheetViews>
  <sheetFormatPr defaultRowHeight="15" x14ac:dyDescent="0.25"/>
  <cols>
    <col min="2" max="2" width="8.140625" customWidth="1"/>
    <col min="3" max="3" width="16.42578125" customWidth="1"/>
    <col min="4" max="4" width="7.28515625" customWidth="1"/>
    <col min="5" max="5" width="13.7109375" customWidth="1"/>
    <col min="6" max="6" width="12.28515625" customWidth="1"/>
    <col min="7" max="7" width="14.85546875" customWidth="1"/>
    <col min="8" max="8" width="10.28515625" customWidth="1"/>
    <col min="9" max="9" width="12.7109375" customWidth="1"/>
    <col min="10" max="10" width="10.5703125" customWidth="1"/>
    <col min="11" max="11" width="12.140625" customWidth="1"/>
    <col min="12" max="12" width="11.5703125" customWidth="1"/>
    <col min="13" max="13" width="12.28515625" customWidth="1"/>
    <col min="14" max="14" width="13.5703125" customWidth="1"/>
    <col min="15" max="15" width="7.140625" customWidth="1"/>
    <col min="16" max="16" width="7.7109375" customWidth="1"/>
    <col min="17" max="17" width="9.140625" customWidth="1"/>
    <col min="18" max="18" width="13.28515625" bestFit="1" customWidth="1"/>
  </cols>
  <sheetData>
    <row r="3" spans="2:14" ht="21" x14ac:dyDescent="0.35">
      <c r="G3" s="222">
        <v>2022</v>
      </c>
      <c r="H3" s="222"/>
    </row>
    <row r="4" spans="2:14" ht="15.75" thickBot="1" x14ac:dyDescent="0.3"/>
    <row r="5" spans="2:14" ht="19.5" thickBot="1" x14ac:dyDescent="0.35">
      <c r="B5" s="223" t="s">
        <v>0</v>
      </c>
      <c r="C5" s="224"/>
      <c r="D5" s="224"/>
      <c r="E5" s="224"/>
      <c r="F5" s="224"/>
      <c r="G5" s="224"/>
      <c r="H5" s="225"/>
      <c r="I5" s="224"/>
      <c r="J5" s="224"/>
      <c r="K5" s="224"/>
      <c r="L5" s="224"/>
      <c r="M5" s="224"/>
      <c r="N5" s="226"/>
    </row>
    <row r="6" spans="2:14" x14ac:dyDescent="0.25">
      <c r="B6" s="227" t="s">
        <v>1</v>
      </c>
      <c r="C6" s="1"/>
      <c r="D6" s="227" t="s">
        <v>2</v>
      </c>
      <c r="E6" s="1" t="s">
        <v>3</v>
      </c>
      <c r="F6" s="1" t="s">
        <v>4</v>
      </c>
      <c r="G6" s="229" t="s">
        <v>5</v>
      </c>
      <c r="H6" s="2" t="s">
        <v>6</v>
      </c>
      <c r="I6" s="3" t="s">
        <v>7</v>
      </c>
      <c r="J6" s="1" t="s">
        <v>8</v>
      </c>
      <c r="K6" s="3" t="s">
        <v>9</v>
      </c>
      <c r="L6" s="3" t="s">
        <v>10</v>
      </c>
      <c r="M6" s="3" t="s">
        <v>11</v>
      </c>
      <c r="N6" s="230" t="s">
        <v>12</v>
      </c>
    </row>
    <row r="7" spans="2:14" ht="15.75" thickBot="1" x14ac:dyDescent="0.3">
      <c r="B7" s="228"/>
      <c r="C7" s="4"/>
      <c r="D7" s="228"/>
      <c r="E7" s="4" t="s">
        <v>29</v>
      </c>
      <c r="F7" s="5">
        <v>0.08</v>
      </c>
      <c r="G7" s="229"/>
      <c r="H7" s="6"/>
      <c r="I7" s="4" t="s">
        <v>13</v>
      </c>
      <c r="J7" s="4" t="s">
        <v>13</v>
      </c>
      <c r="K7" s="7" t="s">
        <v>13</v>
      </c>
      <c r="L7" s="8">
        <v>0.08</v>
      </c>
      <c r="M7" s="7" t="s">
        <v>14</v>
      </c>
      <c r="N7" s="230"/>
    </row>
    <row r="8" spans="2:14" x14ac:dyDescent="0.25">
      <c r="B8" s="9" t="s">
        <v>15</v>
      </c>
      <c r="C8" s="9" t="s">
        <v>16</v>
      </c>
      <c r="D8" s="10">
        <v>1</v>
      </c>
      <c r="E8" s="11">
        <v>1681.31</v>
      </c>
      <c r="F8" s="11">
        <f>E8*F7</f>
        <v>134.50479999999999</v>
      </c>
      <c r="G8" s="12">
        <f>F8+E8</f>
        <v>1815.8147999999999</v>
      </c>
      <c r="H8" s="13"/>
      <c r="I8" s="12">
        <f>E8/12</f>
        <v>140.10916666666665</v>
      </c>
      <c r="J8" s="12">
        <f t="shared" ref="J8:J9" si="0">I8/3</f>
        <v>46.703055555555551</v>
      </c>
      <c r="K8" s="11">
        <f>E8/12</f>
        <v>140.10916666666665</v>
      </c>
      <c r="L8" s="12">
        <f>(I8+J8+K8)*L7</f>
        <v>26.153711111111107</v>
      </c>
      <c r="M8" s="14">
        <f>I8+J8+K8+L8</f>
        <v>353.07509999999991</v>
      </c>
      <c r="N8" s="15">
        <f>M8+G8</f>
        <v>2168.8898999999997</v>
      </c>
    </row>
    <row r="9" spans="2:14" x14ac:dyDescent="0.25">
      <c r="B9" s="16" t="s">
        <v>17</v>
      </c>
      <c r="C9" s="16" t="s">
        <v>18</v>
      </c>
      <c r="D9" s="17">
        <v>1</v>
      </c>
      <c r="E9" s="18">
        <v>1227.08</v>
      </c>
      <c r="F9" s="18">
        <f>E9*F7</f>
        <v>98.166399999999996</v>
      </c>
      <c r="G9" s="19">
        <f>(E9+F9)</f>
        <v>1325.2464</v>
      </c>
      <c r="H9" s="20">
        <v>52</v>
      </c>
      <c r="I9" s="19">
        <f>E9/12</f>
        <v>102.25666666666666</v>
      </c>
      <c r="J9" s="19">
        <f t="shared" si="0"/>
        <v>34.085555555555551</v>
      </c>
      <c r="K9" s="18">
        <f>E9/12</f>
        <v>102.25666666666666</v>
      </c>
      <c r="L9" s="19">
        <f>(I9+J9+K9)*L7</f>
        <v>19.087911111111108</v>
      </c>
      <c r="M9" s="21">
        <f>I9+J9+K9+L9</f>
        <v>257.68679999999995</v>
      </c>
      <c r="N9" s="22">
        <f>M9+G9+H9</f>
        <v>1634.9331999999999</v>
      </c>
    </row>
    <row r="10" spans="2:14" ht="15.75" thickBot="1" x14ac:dyDescent="0.3">
      <c r="B10" s="23" t="s">
        <v>19</v>
      </c>
      <c r="C10" s="23"/>
      <c r="D10" s="24">
        <v>2</v>
      </c>
      <c r="E10" s="25">
        <f>E9+E8</f>
        <v>2908.39</v>
      </c>
      <c r="F10" s="25">
        <f>F9+F8</f>
        <v>232.6712</v>
      </c>
      <c r="G10" s="26">
        <f>G9+G8</f>
        <v>3141.0612000000001</v>
      </c>
      <c r="H10" s="27"/>
      <c r="I10" s="26">
        <f>I9+I8</f>
        <v>242.36583333333331</v>
      </c>
      <c r="J10" s="26">
        <f>J9+J8</f>
        <v>80.788611111111095</v>
      </c>
      <c r="K10" s="25">
        <f>K9+K8</f>
        <v>242.36583333333331</v>
      </c>
      <c r="L10" s="26">
        <f>L9+L8</f>
        <v>45.241622222222219</v>
      </c>
      <c r="M10" s="28">
        <f>M9+M8</f>
        <v>610.76189999999986</v>
      </c>
      <c r="N10" s="29">
        <f>SUM(N8:N9)</f>
        <v>3803.8230999999996</v>
      </c>
    </row>
    <row r="11" spans="2:14" ht="15.75" thickBot="1" x14ac:dyDescent="0.3">
      <c r="B11" s="30"/>
      <c r="C11" s="30"/>
      <c r="D11" s="31"/>
      <c r="E11" s="32"/>
      <c r="F11" s="32"/>
      <c r="G11" s="32"/>
      <c r="H11" s="32"/>
      <c r="I11" s="32"/>
      <c r="J11" s="32"/>
      <c r="K11" s="32"/>
      <c r="L11" s="32"/>
      <c r="M11" s="32"/>
      <c r="N11" s="33"/>
    </row>
    <row r="12" spans="2:14" ht="15.75" thickBot="1" x14ac:dyDescent="0.3">
      <c r="B12" s="34" t="s">
        <v>20</v>
      </c>
      <c r="C12" s="34"/>
      <c r="D12" s="35">
        <v>2</v>
      </c>
      <c r="E12" s="36">
        <f t="shared" ref="E12:N12" si="1">E10*3</f>
        <v>8725.17</v>
      </c>
      <c r="F12" s="37">
        <f t="shared" si="1"/>
        <v>698.0136</v>
      </c>
      <c r="G12" s="38">
        <f t="shared" si="1"/>
        <v>9423.1836000000003</v>
      </c>
      <c r="H12" s="39"/>
      <c r="I12" s="40">
        <f t="shared" si="1"/>
        <v>727.09749999999997</v>
      </c>
      <c r="J12" s="41">
        <f t="shared" si="1"/>
        <v>242.36583333333328</v>
      </c>
      <c r="K12" s="41">
        <f t="shared" si="1"/>
        <v>727.09749999999997</v>
      </c>
      <c r="L12" s="36">
        <f t="shared" si="1"/>
        <v>135.72486666666666</v>
      </c>
      <c r="M12" s="42">
        <f t="shared" si="1"/>
        <v>1832.2856999999995</v>
      </c>
      <c r="N12" s="43">
        <f t="shared" si="1"/>
        <v>11411.469299999999</v>
      </c>
    </row>
    <row r="14" spans="2:14" ht="18.75" x14ac:dyDescent="0.3">
      <c r="B14" s="220" t="s">
        <v>21</v>
      </c>
      <c r="C14" s="220"/>
      <c r="D14" s="220"/>
      <c r="E14" s="220"/>
      <c r="F14" s="220"/>
      <c r="G14" s="220"/>
      <c r="H14" s="220"/>
      <c r="I14" s="220"/>
      <c r="J14" s="220"/>
      <c r="K14" s="220"/>
      <c r="L14" s="220"/>
      <c r="M14" s="220"/>
      <c r="N14" s="221"/>
    </row>
    <row r="15" spans="2:14" x14ac:dyDescent="0.25">
      <c r="B15" s="1" t="s">
        <v>1</v>
      </c>
      <c r="C15" s="1"/>
      <c r="D15" s="1" t="s">
        <v>22</v>
      </c>
      <c r="E15" s="1" t="s">
        <v>3</v>
      </c>
      <c r="F15" s="1" t="s">
        <v>4</v>
      </c>
      <c r="G15" s="6" t="s">
        <v>23</v>
      </c>
      <c r="H15" s="2" t="s">
        <v>24</v>
      </c>
      <c r="I15" s="3" t="s">
        <v>7</v>
      </c>
      <c r="J15" s="1" t="s">
        <v>8</v>
      </c>
      <c r="K15" s="3" t="s">
        <v>9</v>
      </c>
      <c r="L15" s="3" t="s">
        <v>10</v>
      </c>
      <c r="M15" s="3" t="s">
        <v>11</v>
      </c>
      <c r="N15" s="44" t="s">
        <v>12</v>
      </c>
    </row>
    <row r="16" spans="2:14" ht="15.75" thickBot="1" x14ac:dyDescent="0.3">
      <c r="B16" s="4"/>
      <c r="C16" s="4"/>
      <c r="D16" s="4"/>
      <c r="E16" s="45">
        <v>44652</v>
      </c>
      <c r="F16" s="5">
        <v>0.08</v>
      </c>
      <c r="G16" s="2"/>
      <c r="H16" s="6"/>
      <c r="I16" s="4" t="s">
        <v>13</v>
      </c>
      <c r="J16" s="4" t="s">
        <v>13</v>
      </c>
      <c r="K16" s="7" t="s">
        <v>13</v>
      </c>
      <c r="L16" s="8">
        <v>0.08</v>
      </c>
      <c r="M16" s="7" t="s">
        <v>14</v>
      </c>
      <c r="N16" s="44"/>
    </row>
    <row r="17" spans="2:14" x14ac:dyDescent="0.25">
      <c r="B17" s="9" t="s">
        <v>25</v>
      </c>
      <c r="C17" s="9" t="s">
        <v>26</v>
      </c>
      <c r="D17" s="10">
        <v>1</v>
      </c>
      <c r="E17" s="11">
        <v>1832.62</v>
      </c>
      <c r="F17" s="11">
        <f>E17*F16</f>
        <v>146.6096</v>
      </c>
      <c r="G17" s="46">
        <f>(E17+F17)*D17*1</f>
        <v>1979.2295999999999</v>
      </c>
      <c r="H17" s="13"/>
      <c r="I17" s="12">
        <f>E17/12</f>
        <v>152.71833333333333</v>
      </c>
      <c r="J17" s="11">
        <f>I17/3</f>
        <v>50.906111111111109</v>
      </c>
      <c r="K17" s="11">
        <f>E17/12</f>
        <v>152.71833333333333</v>
      </c>
      <c r="L17" s="12">
        <f>(I17+J17+K17)*L16</f>
        <v>28.507422222222221</v>
      </c>
      <c r="M17" s="14">
        <f>I17+J17+K17+L17*D17</f>
        <v>384.85019999999997</v>
      </c>
      <c r="N17" s="15">
        <f>M17+G17</f>
        <v>2364.0798</v>
      </c>
    </row>
    <row r="18" spans="2:14" x14ac:dyDescent="0.25">
      <c r="B18" s="16" t="s">
        <v>27</v>
      </c>
      <c r="C18" s="16" t="s">
        <v>26</v>
      </c>
      <c r="D18" s="17">
        <v>1</v>
      </c>
      <c r="E18" s="18">
        <v>1337.51</v>
      </c>
      <c r="F18" s="18">
        <f>E18*F16</f>
        <v>107.0008</v>
      </c>
      <c r="G18" s="21">
        <f>(E18+F18)*D18*1</f>
        <v>1444.5108</v>
      </c>
      <c r="H18" s="20">
        <v>55</v>
      </c>
      <c r="I18" s="19">
        <f>E18/12</f>
        <v>111.45916666666666</v>
      </c>
      <c r="J18" s="18">
        <f t="shared" ref="J18" si="2">I18/3</f>
        <v>37.153055555555554</v>
      </c>
      <c r="K18" s="18">
        <f>E18/12</f>
        <v>111.45916666666666</v>
      </c>
      <c r="L18" s="19">
        <f>(I18+J18+K18)*L16</f>
        <v>20.805711111111108</v>
      </c>
      <c r="M18" s="21">
        <f>I18+J18+K18+L18*1</f>
        <v>280.87709999999998</v>
      </c>
      <c r="N18" s="22">
        <f>M18+G18+H18</f>
        <v>1780.3878999999999</v>
      </c>
    </row>
    <row r="19" spans="2:14" ht="15.75" thickBot="1" x14ac:dyDescent="0.3">
      <c r="B19" s="23" t="s">
        <v>19</v>
      </c>
      <c r="C19" s="23"/>
      <c r="D19" s="24">
        <v>2</v>
      </c>
      <c r="E19" s="47">
        <f>SUM(E17:E18)</f>
        <v>3170.13</v>
      </c>
      <c r="F19" s="48">
        <f t="shared" ref="F19:M19" si="3">SUM(F17:F18)</f>
        <v>253.6104</v>
      </c>
      <c r="G19" s="49">
        <f t="shared" si="3"/>
        <v>3423.7403999999997</v>
      </c>
      <c r="H19" s="27"/>
      <c r="I19" s="48">
        <f t="shared" si="3"/>
        <v>264.17750000000001</v>
      </c>
      <c r="J19" s="48">
        <f t="shared" si="3"/>
        <v>88.05916666666667</v>
      </c>
      <c r="K19" s="48">
        <f t="shared" si="3"/>
        <v>264.17750000000001</v>
      </c>
      <c r="L19" s="47">
        <f t="shared" si="3"/>
        <v>49.313133333333326</v>
      </c>
      <c r="M19" s="50">
        <f t="shared" si="3"/>
        <v>665.72730000000001</v>
      </c>
      <c r="N19" s="29">
        <f>SUM(N17:N18)</f>
        <v>4144.4677000000001</v>
      </c>
    </row>
    <row r="20" spans="2:14" ht="15.75" thickBot="1" x14ac:dyDescent="0.3">
      <c r="H20" s="51"/>
      <c r="I20" s="52"/>
      <c r="J20" s="52"/>
      <c r="K20" s="52"/>
      <c r="L20" s="52"/>
    </row>
    <row r="21" spans="2:14" ht="15.75" thickBot="1" x14ac:dyDescent="0.3">
      <c r="B21" s="34" t="s">
        <v>28</v>
      </c>
      <c r="C21" s="34"/>
      <c r="D21" s="35">
        <v>2</v>
      </c>
      <c r="E21" s="36">
        <f t="shared" ref="E21:N21" si="4">E19*9</f>
        <v>28531.170000000002</v>
      </c>
      <c r="F21" s="37">
        <f t="shared" si="4"/>
        <v>2282.4935999999998</v>
      </c>
      <c r="G21" s="38">
        <f t="shared" si="4"/>
        <v>30813.663599999996</v>
      </c>
      <c r="H21" s="39"/>
      <c r="I21" s="40">
        <f t="shared" si="4"/>
        <v>2377.5974999999999</v>
      </c>
      <c r="J21" s="41">
        <f t="shared" si="4"/>
        <v>792.53250000000003</v>
      </c>
      <c r="K21" s="41">
        <f t="shared" si="4"/>
        <v>2377.5974999999999</v>
      </c>
      <c r="L21" s="36">
        <f t="shared" si="4"/>
        <v>443.81819999999993</v>
      </c>
      <c r="M21" s="42">
        <f t="shared" si="4"/>
        <v>5991.5457000000006</v>
      </c>
      <c r="N21" s="43">
        <f t="shared" si="4"/>
        <v>37300.209300000002</v>
      </c>
    </row>
    <row r="22" spans="2:14" x14ac:dyDescent="0.25">
      <c r="B22" s="54"/>
      <c r="C22" s="54"/>
      <c r="D22" s="55"/>
      <c r="E22" s="56"/>
      <c r="F22" s="57"/>
      <c r="G22" s="58"/>
      <c r="H22" s="59"/>
      <c r="I22" s="57"/>
      <c r="J22" s="57"/>
      <c r="K22" s="57"/>
      <c r="L22" s="56"/>
      <c r="M22" s="60"/>
      <c r="N22" s="61"/>
    </row>
    <row r="23" spans="2:14" x14ac:dyDescent="0.25">
      <c r="B23" s="54"/>
      <c r="C23" s="54"/>
      <c r="D23" s="55"/>
      <c r="E23" s="56"/>
      <c r="F23" s="57"/>
      <c r="G23" s="58"/>
      <c r="H23" s="59"/>
      <c r="I23" s="57"/>
      <c r="J23" s="57"/>
      <c r="K23" s="57"/>
      <c r="L23" s="56"/>
      <c r="M23" s="60"/>
      <c r="N23" s="61"/>
    </row>
    <row r="25" spans="2:14" ht="23.25" x14ac:dyDescent="0.35">
      <c r="G25" s="53">
        <v>2023</v>
      </c>
    </row>
    <row r="27" spans="2:14" ht="18.75" x14ac:dyDescent="0.3">
      <c r="B27" s="220" t="s">
        <v>105</v>
      </c>
      <c r="C27" s="220"/>
      <c r="D27" s="220"/>
      <c r="E27" s="220"/>
      <c r="F27" s="220"/>
      <c r="G27" s="220"/>
      <c r="H27" s="220"/>
      <c r="I27" s="220"/>
      <c r="J27" s="220"/>
      <c r="K27" s="220"/>
      <c r="L27" s="220"/>
      <c r="M27" s="220"/>
      <c r="N27" s="221"/>
    </row>
    <row r="28" spans="2:14" x14ac:dyDescent="0.25">
      <c r="B28" s="1" t="s">
        <v>1</v>
      </c>
      <c r="C28" s="1"/>
      <c r="D28" s="1" t="s">
        <v>22</v>
      </c>
      <c r="E28" s="1" t="s">
        <v>3</v>
      </c>
      <c r="F28" s="1" t="s">
        <v>4</v>
      </c>
      <c r="G28" s="6" t="s">
        <v>23</v>
      </c>
      <c r="H28" s="2" t="s">
        <v>24</v>
      </c>
      <c r="I28" s="3" t="s">
        <v>7</v>
      </c>
      <c r="J28" s="1" t="s">
        <v>8</v>
      </c>
      <c r="K28" s="3" t="s">
        <v>9</v>
      </c>
      <c r="L28" s="3" t="s">
        <v>10</v>
      </c>
      <c r="M28" s="3" t="s">
        <v>11</v>
      </c>
      <c r="N28" s="44" t="s">
        <v>12</v>
      </c>
    </row>
    <row r="29" spans="2:14" ht="15.75" thickBot="1" x14ac:dyDescent="0.3">
      <c r="B29" s="4"/>
      <c r="C29" s="4"/>
      <c r="D29" s="4"/>
      <c r="E29" s="45">
        <v>44652</v>
      </c>
      <c r="F29" s="5">
        <v>0.08</v>
      </c>
      <c r="G29" s="2"/>
      <c r="H29" s="6"/>
      <c r="I29" s="4" t="s">
        <v>13</v>
      </c>
      <c r="J29" s="4" t="s">
        <v>13</v>
      </c>
      <c r="K29" s="7" t="s">
        <v>13</v>
      </c>
      <c r="L29" s="8">
        <v>0.08</v>
      </c>
      <c r="M29" s="7" t="s">
        <v>14</v>
      </c>
      <c r="N29" s="44"/>
    </row>
    <row r="30" spans="2:14" x14ac:dyDescent="0.25">
      <c r="B30" s="9" t="s">
        <v>25</v>
      </c>
      <c r="C30" s="9" t="s">
        <v>26</v>
      </c>
      <c r="D30" s="10">
        <v>1</v>
      </c>
      <c r="E30" s="11">
        <v>1832.62</v>
      </c>
      <c r="F30" s="11">
        <f>E30*F29</f>
        <v>146.6096</v>
      </c>
      <c r="G30" s="46">
        <f>(E30+F30)*D30*1</f>
        <v>1979.2295999999999</v>
      </c>
      <c r="H30" s="13"/>
      <c r="I30" s="12">
        <f>E30/12</f>
        <v>152.71833333333333</v>
      </c>
      <c r="J30" s="11">
        <f>I30/3</f>
        <v>50.906111111111109</v>
      </c>
      <c r="K30" s="11">
        <f>E30/12</f>
        <v>152.71833333333333</v>
      </c>
      <c r="L30" s="12">
        <f>(I30+J30+K30)*L29</f>
        <v>28.507422222222221</v>
      </c>
      <c r="M30" s="14">
        <f>I30+J30+K30+L30*D30</f>
        <v>384.85019999999997</v>
      </c>
      <c r="N30" s="15">
        <f>M30+G30</f>
        <v>2364.0798</v>
      </c>
    </row>
    <row r="31" spans="2:14" x14ac:dyDescent="0.25">
      <c r="B31" s="16" t="s">
        <v>27</v>
      </c>
      <c r="C31" s="16" t="s">
        <v>26</v>
      </c>
      <c r="D31" s="17">
        <v>1</v>
      </c>
      <c r="E31" s="18">
        <v>1337.51</v>
      </c>
      <c r="F31" s="18">
        <f>E31*F29</f>
        <v>107.0008</v>
      </c>
      <c r="G31" s="21">
        <f>(E31+F31)*D31*1</f>
        <v>1444.5108</v>
      </c>
      <c r="H31" s="20">
        <v>0</v>
      </c>
      <c r="I31" s="19">
        <f>E31/12</f>
        <v>111.45916666666666</v>
      </c>
      <c r="J31" s="18">
        <f t="shared" ref="J31" si="5">I31/3</f>
        <v>37.153055555555554</v>
      </c>
      <c r="K31" s="18">
        <f>E31/12</f>
        <v>111.45916666666666</v>
      </c>
      <c r="L31" s="19">
        <f>(I31+J31+K31)*L29</f>
        <v>20.805711111111108</v>
      </c>
      <c r="M31" s="21">
        <f>I31+J31+K31+L31*1</f>
        <v>280.87709999999998</v>
      </c>
      <c r="N31" s="22">
        <f>M31+G31+H31</f>
        <v>1725.3878999999999</v>
      </c>
    </row>
    <row r="32" spans="2:14" ht="15.75" thickBot="1" x14ac:dyDescent="0.3">
      <c r="B32" s="23" t="s">
        <v>19</v>
      </c>
      <c r="C32" s="23"/>
      <c r="D32" s="24">
        <v>2</v>
      </c>
      <c r="E32" s="47">
        <f>SUM(E30:E31)</f>
        <v>3170.13</v>
      </c>
      <c r="F32" s="48">
        <f t="shared" ref="F32:G32" si="6">SUM(F30:F31)</f>
        <v>253.6104</v>
      </c>
      <c r="G32" s="49">
        <f t="shared" si="6"/>
        <v>3423.7403999999997</v>
      </c>
      <c r="H32" s="27"/>
      <c r="I32" s="48">
        <f t="shared" ref="I32:M32" si="7">SUM(I30:I31)</f>
        <v>264.17750000000001</v>
      </c>
      <c r="J32" s="48">
        <f t="shared" si="7"/>
        <v>88.05916666666667</v>
      </c>
      <c r="K32" s="48">
        <f t="shared" si="7"/>
        <v>264.17750000000001</v>
      </c>
      <c r="L32" s="47">
        <f t="shared" si="7"/>
        <v>49.313133333333326</v>
      </c>
      <c r="M32" s="50">
        <f t="shared" si="7"/>
        <v>665.72730000000001</v>
      </c>
      <c r="N32" s="29">
        <f>SUM(N30:N31)</f>
        <v>4089.4677000000001</v>
      </c>
    </row>
    <row r="33" spans="2:14" ht="15.75" thickBot="1" x14ac:dyDescent="0.3">
      <c r="H33" s="51"/>
      <c r="I33" s="52"/>
      <c r="J33" s="52"/>
      <c r="K33" s="52"/>
      <c r="L33" s="52"/>
    </row>
    <row r="34" spans="2:14" ht="15.75" thickBot="1" x14ac:dyDescent="0.3">
      <c r="B34" s="34" t="s">
        <v>20</v>
      </c>
      <c r="C34" s="34"/>
      <c r="D34" s="35">
        <v>2</v>
      </c>
      <c r="E34" s="36">
        <f>E32*3</f>
        <v>9510.39</v>
      </c>
      <c r="F34" s="37">
        <f>F32*3</f>
        <v>760.83119999999997</v>
      </c>
      <c r="G34" s="38">
        <f>G32*3</f>
        <v>10271.2212</v>
      </c>
      <c r="H34" s="39"/>
      <c r="I34" s="40">
        <f t="shared" ref="I34:N34" si="8">I32*3</f>
        <v>792.53250000000003</v>
      </c>
      <c r="J34" s="41">
        <f t="shared" si="8"/>
        <v>264.17750000000001</v>
      </c>
      <c r="K34" s="41">
        <f t="shared" si="8"/>
        <v>792.53250000000003</v>
      </c>
      <c r="L34" s="36">
        <f t="shared" si="8"/>
        <v>147.93939999999998</v>
      </c>
      <c r="M34" s="42">
        <f t="shared" si="8"/>
        <v>1997.1819</v>
      </c>
      <c r="N34" s="43">
        <f t="shared" si="8"/>
        <v>12268.4031</v>
      </c>
    </row>
    <row r="38" spans="2:14" ht="18.75" x14ac:dyDescent="0.3">
      <c r="B38" s="220" t="s">
        <v>30</v>
      </c>
      <c r="C38" s="220"/>
      <c r="D38" s="220"/>
      <c r="E38" s="220"/>
      <c r="F38" s="220"/>
      <c r="G38" s="220"/>
      <c r="H38" s="220"/>
      <c r="I38" s="220"/>
      <c r="J38" s="220"/>
      <c r="K38" s="220"/>
      <c r="L38" s="220"/>
      <c r="M38" s="220"/>
      <c r="N38" s="221"/>
    </row>
    <row r="39" spans="2:14" x14ac:dyDescent="0.25">
      <c r="B39" s="1" t="s">
        <v>1</v>
      </c>
      <c r="C39" s="1"/>
      <c r="D39" s="1" t="s">
        <v>22</v>
      </c>
      <c r="E39" s="1" t="s">
        <v>3</v>
      </c>
      <c r="F39" s="1" t="s">
        <v>4</v>
      </c>
      <c r="G39" s="6" t="s">
        <v>23</v>
      </c>
      <c r="H39" s="2" t="s">
        <v>24</v>
      </c>
      <c r="I39" s="3" t="s">
        <v>7</v>
      </c>
      <c r="J39" s="1" t="s">
        <v>8</v>
      </c>
      <c r="K39" s="3" t="s">
        <v>9</v>
      </c>
      <c r="L39" s="3" t="s">
        <v>10</v>
      </c>
      <c r="M39" s="3" t="s">
        <v>11</v>
      </c>
      <c r="N39" s="44" t="s">
        <v>12</v>
      </c>
    </row>
    <row r="40" spans="2:14" ht="15.75" thickBot="1" x14ac:dyDescent="0.3">
      <c r="B40" s="4"/>
      <c r="C40" s="4"/>
      <c r="D40" s="4"/>
      <c r="E40" s="45">
        <v>44652</v>
      </c>
      <c r="F40" s="5">
        <v>0.08</v>
      </c>
      <c r="G40" s="2"/>
      <c r="H40" s="6"/>
      <c r="I40" s="4" t="s">
        <v>13</v>
      </c>
      <c r="J40" s="4" t="s">
        <v>13</v>
      </c>
      <c r="K40" s="7" t="s">
        <v>13</v>
      </c>
      <c r="L40" s="8">
        <v>0.08</v>
      </c>
      <c r="M40" s="7" t="s">
        <v>14</v>
      </c>
      <c r="N40" s="44"/>
    </row>
    <row r="41" spans="2:14" x14ac:dyDescent="0.25">
      <c r="B41" s="9" t="s">
        <v>25</v>
      </c>
      <c r="C41" s="9" t="s">
        <v>26</v>
      </c>
      <c r="D41" s="10">
        <v>1</v>
      </c>
      <c r="E41" s="11">
        <v>2015.8820000000001</v>
      </c>
      <c r="F41" s="11">
        <f>E41*F40</f>
        <v>161.27056000000002</v>
      </c>
      <c r="G41" s="46">
        <f>(E41+F41)*D41*1</f>
        <v>2177.15256</v>
      </c>
      <c r="H41" s="13"/>
      <c r="I41" s="12">
        <f>E41/12</f>
        <v>167.99016666666668</v>
      </c>
      <c r="J41" s="11">
        <f>I41/3</f>
        <v>55.996722222222225</v>
      </c>
      <c r="K41" s="11">
        <f>E41/12</f>
        <v>167.99016666666668</v>
      </c>
      <c r="L41" s="12">
        <f>(I41+J41+K41)*L40</f>
        <v>31.358164444444448</v>
      </c>
      <c r="M41" s="14">
        <f>I41+J41+K41+L41*D41</f>
        <v>423.33522000000005</v>
      </c>
      <c r="N41" s="15">
        <f>M41+G41</f>
        <v>2600.4877799999999</v>
      </c>
    </row>
    <row r="42" spans="2:14" x14ac:dyDescent="0.25">
      <c r="B42" s="16" t="s">
        <v>27</v>
      </c>
      <c r="C42" s="16" t="s">
        <v>26</v>
      </c>
      <c r="D42" s="17">
        <v>1</v>
      </c>
      <c r="E42" s="18">
        <v>1471.26</v>
      </c>
      <c r="F42" s="18">
        <f>E42*F40</f>
        <v>117.7008</v>
      </c>
      <c r="G42" s="21">
        <f>(E42+F42)*D42*1</f>
        <v>1588.9608000000001</v>
      </c>
      <c r="H42" s="20"/>
      <c r="I42" s="19">
        <f>E42/12</f>
        <v>122.605</v>
      </c>
      <c r="J42" s="18">
        <f t="shared" ref="J42" si="9">I42/3</f>
        <v>40.868333333333332</v>
      </c>
      <c r="K42" s="18">
        <f>E42/12</f>
        <v>122.605</v>
      </c>
      <c r="L42" s="19">
        <f>(I42+J42+K42)*L40</f>
        <v>22.886266666666668</v>
      </c>
      <c r="M42" s="21">
        <f>I42+J42+K42+L42*1</f>
        <v>308.96459999999996</v>
      </c>
      <c r="N42" s="203">
        <f>M42+G42+H42</f>
        <v>1897.9254000000001</v>
      </c>
    </row>
    <row r="43" spans="2:14" ht="15.75" thickBot="1" x14ac:dyDescent="0.3">
      <c r="B43" s="23" t="s">
        <v>19</v>
      </c>
      <c r="C43" s="23"/>
      <c r="D43" s="24">
        <v>2</v>
      </c>
      <c r="E43" s="47">
        <f>SUM(E41:E42)</f>
        <v>3487.1419999999998</v>
      </c>
      <c r="F43" s="48">
        <f t="shared" ref="F43:G43" si="10">SUM(F41:F42)</f>
        <v>278.97136</v>
      </c>
      <c r="G43" s="49">
        <f t="shared" si="10"/>
        <v>3766.1133600000003</v>
      </c>
      <c r="H43" s="27"/>
      <c r="I43" s="48">
        <f t="shared" ref="I43:M43" si="11">SUM(I41:I42)</f>
        <v>290.59516666666667</v>
      </c>
      <c r="J43" s="48">
        <f t="shared" si="11"/>
        <v>96.865055555555557</v>
      </c>
      <c r="K43" s="48">
        <f t="shared" si="11"/>
        <v>290.59516666666667</v>
      </c>
      <c r="L43" s="47">
        <f t="shared" si="11"/>
        <v>54.244431111111112</v>
      </c>
      <c r="M43" s="50">
        <f t="shared" si="11"/>
        <v>732.29981999999995</v>
      </c>
      <c r="N43" s="29">
        <f>SUM(N41:N42)</f>
        <v>4498.4131799999996</v>
      </c>
    </row>
    <row r="44" spans="2:14" ht="15.75" thickBot="1" x14ac:dyDescent="0.3">
      <c r="H44" s="51"/>
      <c r="I44" s="52"/>
      <c r="J44" s="52"/>
      <c r="K44" s="52"/>
      <c r="L44" s="52"/>
    </row>
    <row r="45" spans="2:14" ht="15.75" thickBot="1" x14ac:dyDescent="0.3">
      <c r="B45" s="34" t="s">
        <v>28</v>
      </c>
      <c r="C45" s="34"/>
      <c r="D45" s="35">
        <v>2</v>
      </c>
      <c r="E45" s="36">
        <f>E43*9</f>
        <v>31384.277999999998</v>
      </c>
      <c r="F45" s="37">
        <f>F43*9</f>
        <v>2510.74224</v>
      </c>
      <c r="G45" s="38">
        <f>G43*9</f>
        <v>33895.020240000005</v>
      </c>
      <c r="H45" s="39"/>
      <c r="I45" s="40">
        <f t="shared" ref="I45:N45" si="12">I43*9</f>
        <v>2615.3564999999999</v>
      </c>
      <c r="J45" s="41">
        <f t="shared" si="12"/>
        <v>871.78549999999996</v>
      </c>
      <c r="K45" s="41">
        <f t="shared" si="12"/>
        <v>2615.3564999999999</v>
      </c>
      <c r="L45" s="36">
        <f t="shared" si="12"/>
        <v>488.19988000000001</v>
      </c>
      <c r="M45" s="42">
        <f t="shared" si="12"/>
        <v>6590.6983799999998</v>
      </c>
      <c r="N45" s="43">
        <f t="shared" si="12"/>
        <v>40485.71862</v>
      </c>
    </row>
    <row r="50" spans="2:18" ht="11.25" customHeight="1" x14ac:dyDescent="0.25"/>
    <row r="51" spans="2:18" ht="26.25" customHeight="1" x14ac:dyDescent="0.25"/>
    <row r="52" spans="2:18" ht="18" customHeight="1" x14ac:dyDescent="0.25"/>
    <row r="53" spans="2:18" ht="29.25" customHeight="1" x14ac:dyDescent="0.25"/>
    <row r="57" spans="2:18" ht="15.75" customHeight="1" x14ac:dyDescent="0.25"/>
    <row r="58" spans="2:18" ht="15.75" customHeight="1" x14ac:dyDescent="0.25"/>
    <row r="59" spans="2:18" x14ac:dyDescent="0.25">
      <c r="K59" s="71"/>
      <c r="L59" s="85"/>
      <c r="M59" s="71"/>
      <c r="Q59" s="173"/>
      <c r="R59" s="71"/>
    </row>
    <row r="60" spans="2:18" x14ac:dyDescent="0.25">
      <c r="K60" s="71"/>
      <c r="L60" s="85"/>
      <c r="M60" s="71"/>
      <c r="Q60" s="79"/>
    </row>
    <row r="61" spans="2:18" x14ac:dyDescent="0.25">
      <c r="K61" s="71"/>
      <c r="L61" s="85"/>
      <c r="M61" s="71"/>
      <c r="Q61" s="79"/>
    </row>
    <row r="62" spans="2:18" ht="15.75" thickBot="1" x14ac:dyDescent="0.3"/>
    <row r="63" spans="2:18" ht="18.75" thickBot="1" x14ac:dyDescent="0.3">
      <c r="B63" s="62" t="s">
        <v>55</v>
      </c>
      <c r="C63" s="72" t="s">
        <v>34</v>
      </c>
      <c r="D63" s="64"/>
      <c r="E63" s="72" t="s">
        <v>35</v>
      </c>
      <c r="F63" s="64"/>
      <c r="G63" s="72" t="s">
        <v>36</v>
      </c>
      <c r="H63" s="64"/>
      <c r="I63" s="72" t="s">
        <v>34</v>
      </c>
      <c r="J63" s="64"/>
      <c r="K63" s="72" t="s">
        <v>35</v>
      </c>
      <c r="L63" s="64"/>
      <c r="M63" s="72" t="s">
        <v>36</v>
      </c>
      <c r="N63" s="64"/>
      <c r="O63" s="64" t="s">
        <v>19</v>
      </c>
      <c r="Q63" s="69"/>
    </row>
    <row r="64" spans="2:18" ht="18" customHeight="1" thickTop="1" x14ac:dyDescent="0.25">
      <c r="B64" s="80"/>
      <c r="C64" s="65" t="s">
        <v>38</v>
      </c>
      <c r="D64" s="65" t="s">
        <v>38</v>
      </c>
      <c r="E64" s="65" t="s">
        <v>40</v>
      </c>
      <c r="F64" s="65" t="s">
        <v>38</v>
      </c>
      <c r="G64" s="65" t="s">
        <v>38</v>
      </c>
      <c r="H64" s="65" t="s">
        <v>38</v>
      </c>
      <c r="I64" s="65" t="s">
        <v>38</v>
      </c>
      <c r="J64" s="65" t="s">
        <v>40</v>
      </c>
      <c r="K64" s="65" t="s">
        <v>40</v>
      </c>
      <c r="L64" s="65" t="s">
        <v>40</v>
      </c>
      <c r="M64" s="65" t="s">
        <v>38</v>
      </c>
      <c r="N64" s="65" t="s">
        <v>40</v>
      </c>
      <c r="O64" s="76"/>
      <c r="Q64" s="217"/>
    </row>
    <row r="65" spans="2:17" ht="27.75" thickBot="1" x14ac:dyDescent="0.3">
      <c r="B65" s="68"/>
      <c r="C65" s="66" t="s">
        <v>39</v>
      </c>
      <c r="D65" s="67" t="s">
        <v>52</v>
      </c>
      <c r="E65" s="66" t="s">
        <v>41</v>
      </c>
      <c r="F65" s="67" t="s">
        <v>52</v>
      </c>
      <c r="G65" s="66" t="s">
        <v>39</v>
      </c>
      <c r="H65" s="67" t="s">
        <v>52</v>
      </c>
      <c r="I65" s="66" t="s">
        <v>39</v>
      </c>
      <c r="J65" s="66" t="s">
        <v>54</v>
      </c>
      <c r="K65" s="66" t="s">
        <v>41</v>
      </c>
      <c r="L65" s="66" t="s">
        <v>54</v>
      </c>
      <c r="M65" s="66" t="s">
        <v>39</v>
      </c>
      <c r="N65" s="66" t="s">
        <v>54</v>
      </c>
      <c r="O65" s="77"/>
      <c r="Q65" s="217"/>
    </row>
    <row r="66" spans="2:17" ht="27.75" thickBot="1" x14ac:dyDescent="0.3">
      <c r="B66" s="86" t="s">
        <v>56</v>
      </c>
      <c r="C66" s="75">
        <v>679.07</v>
      </c>
      <c r="D66" s="75">
        <v>2037.21</v>
      </c>
      <c r="E66" s="75">
        <v>269.22000000000003</v>
      </c>
      <c r="F66" s="75">
        <v>807.66</v>
      </c>
      <c r="G66" s="75">
        <v>0</v>
      </c>
      <c r="H66" s="75">
        <v>0</v>
      </c>
      <c r="I66" s="78" t="s">
        <v>63</v>
      </c>
      <c r="J66" s="75">
        <v>5184.63</v>
      </c>
      <c r="K66" s="75">
        <v>83.22</v>
      </c>
      <c r="L66" s="75">
        <v>748.98</v>
      </c>
      <c r="M66" s="75">
        <v>0</v>
      </c>
      <c r="N66" s="75">
        <v>0</v>
      </c>
      <c r="O66" s="75">
        <v>5933.61</v>
      </c>
      <c r="Q66" s="69"/>
    </row>
    <row r="67" spans="2:17" ht="15.75" thickBot="1" x14ac:dyDescent="0.3">
      <c r="B67" s="86" t="s">
        <v>57</v>
      </c>
      <c r="C67" s="75">
        <v>0</v>
      </c>
      <c r="D67" s="75">
        <v>0</v>
      </c>
      <c r="E67" s="75">
        <v>0</v>
      </c>
      <c r="F67" s="75">
        <v>0</v>
      </c>
      <c r="G67" s="75">
        <v>216.68680000000001</v>
      </c>
      <c r="H67" s="75">
        <v>650.06039999999996</v>
      </c>
      <c r="I67" s="75">
        <v>0</v>
      </c>
      <c r="J67" s="75">
        <v>0</v>
      </c>
      <c r="K67" s="75">
        <v>0</v>
      </c>
      <c r="L67" s="75">
        <v>0</v>
      </c>
      <c r="M67" s="75">
        <v>216.66</v>
      </c>
      <c r="N67" s="75">
        <v>0</v>
      </c>
      <c r="O67" s="75">
        <v>1949.94</v>
      </c>
      <c r="Q67" s="69"/>
    </row>
    <row r="68" spans="2:17" ht="18.75" thickBot="1" x14ac:dyDescent="0.3">
      <c r="B68" s="86" t="s">
        <v>58</v>
      </c>
      <c r="C68" s="78" t="s">
        <v>59</v>
      </c>
      <c r="D68" s="75">
        <v>1200</v>
      </c>
      <c r="E68" s="75">
        <v>0</v>
      </c>
      <c r="F68" s="75">
        <v>0</v>
      </c>
      <c r="G68" s="75">
        <v>0</v>
      </c>
      <c r="H68" s="75">
        <v>0</v>
      </c>
      <c r="I68" s="75">
        <v>200</v>
      </c>
      <c r="J68" s="78" t="s">
        <v>64</v>
      </c>
      <c r="K68" s="75">
        <v>0</v>
      </c>
      <c r="L68" s="75">
        <v>0</v>
      </c>
      <c r="M68" s="75">
        <v>0</v>
      </c>
      <c r="N68" s="75">
        <v>0</v>
      </c>
      <c r="O68" s="78">
        <v>3000</v>
      </c>
      <c r="Q68" s="69"/>
    </row>
    <row r="69" spans="2:17" ht="18.75" thickBot="1" x14ac:dyDescent="0.3">
      <c r="B69" s="86" t="s">
        <v>60</v>
      </c>
      <c r="C69" s="75" t="s">
        <v>61</v>
      </c>
      <c r="D69" s="75">
        <v>3750</v>
      </c>
      <c r="E69" s="75">
        <v>0</v>
      </c>
      <c r="F69" s="75">
        <v>0</v>
      </c>
      <c r="G69" s="75">
        <v>0</v>
      </c>
      <c r="H69" s="75">
        <v>0</v>
      </c>
      <c r="I69" s="75">
        <v>0</v>
      </c>
      <c r="J69" s="75">
        <v>0</v>
      </c>
      <c r="K69" s="75">
        <v>0</v>
      </c>
      <c r="L69" s="75">
        <v>0</v>
      </c>
      <c r="M69" s="75">
        <v>0</v>
      </c>
      <c r="N69" s="75">
        <v>0</v>
      </c>
      <c r="O69" s="75">
        <v>3750</v>
      </c>
      <c r="Q69" s="69"/>
    </row>
    <row r="70" spans="2:17" x14ac:dyDescent="0.25">
      <c r="C70" s="79"/>
      <c r="D70" s="79"/>
      <c r="E70" s="79"/>
      <c r="F70" s="79"/>
      <c r="G70" s="79"/>
      <c r="H70" s="79"/>
      <c r="I70" s="79"/>
      <c r="J70" s="79"/>
      <c r="K70" s="79"/>
      <c r="L70" s="79"/>
      <c r="M70" s="79"/>
      <c r="N70" s="79"/>
      <c r="Q70" s="71"/>
    </row>
    <row r="71" spans="2:17" x14ac:dyDescent="0.25">
      <c r="C71" s="79"/>
      <c r="D71" s="79"/>
      <c r="E71" s="79"/>
      <c r="F71" s="79"/>
      <c r="G71" s="79"/>
      <c r="H71" s="79"/>
      <c r="I71" s="79"/>
      <c r="J71" s="79"/>
      <c r="K71" s="79"/>
      <c r="L71" s="79"/>
      <c r="M71" s="79"/>
      <c r="N71" s="79"/>
      <c r="Q71" s="71"/>
    </row>
    <row r="72" spans="2:17" x14ac:dyDescent="0.25">
      <c r="C72" s="79"/>
      <c r="D72" s="79"/>
      <c r="E72" s="79"/>
      <c r="F72" s="79"/>
      <c r="G72" s="79"/>
      <c r="H72" s="79"/>
      <c r="I72" s="79"/>
      <c r="J72" s="79"/>
      <c r="K72" s="79"/>
      <c r="L72" s="79"/>
      <c r="M72" s="79"/>
      <c r="N72" s="79"/>
      <c r="Q72" s="71"/>
    </row>
    <row r="73" spans="2:17" x14ac:dyDescent="0.25">
      <c r="C73" s="79"/>
      <c r="D73" s="79"/>
      <c r="E73" s="79"/>
      <c r="F73" s="79"/>
      <c r="G73" s="79"/>
      <c r="H73" s="79"/>
      <c r="I73" s="79"/>
      <c r="J73" s="79"/>
      <c r="K73" s="79"/>
      <c r="L73" s="79"/>
      <c r="M73" s="79"/>
      <c r="N73" s="79"/>
      <c r="Q73" s="71"/>
    </row>
    <row r="74" spans="2:17" x14ac:dyDescent="0.25">
      <c r="C74" s="79"/>
      <c r="D74" s="79"/>
      <c r="E74" s="79"/>
      <c r="F74" s="79"/>
      <c r="G74" s="79"/>
      <c r="H74" s="79"/>
      <c r="I74" s="79"/>
      <c r="J74" s="79"/>
      <c r="K74" s="79"/>
      <c r="L74" s="79"/>
      <c r="M74" s="79"/>
      <c r="N74" s="79"/>
      <c r="Q74" s="71"/>
    </row>
    <row r="76" spans="2:17" ht="15.75" thickBot="1" x14ac:dyDescent="0.3"/>
    <row r="77" spans="2:17" ht="15.75" thickBot="1" x14ac:dyDescent="0.3">
      <c r="B77" s="214" t="s">
        <v>55</v>
      </c>
      <c r="C77" s="218" t="s">
        <v>34</v>
      </c>
      <c r="D77" s="219"/>
      <c r="E77" s="218" t="s">
        <v>35</v>
      </c>
      <c r="F77" s="219"/>
      <c r="G77" s="218" t="s">
        <v>36</v>
      </c>
      <c r="H77" s="219"/>
      <c r="I77" s="212" t="s">
        <v>34</v>
      </c>
      <c r="J77" s="213"/>
      <c r="K77" s="212" t="s">
        <v>35</v>
      </c>
      <c r="L77" s="213"/>
      <c r="M77" s="212" t="s">
        <v>36</v>
      </c>
      <c r="N77" s="213"/>
      <c r="O77" s="214" t="s">
        <v>37</v>
      </c>
    </row>
    <row r="78" spans="2:17" ht="18" customHeight="1" thickTop="1" x14ac:dyDescent="0.25">
      <c r="B78" s="215"/>
      <c r="C78" s="65" t="s">
        <v>38</v>
      </c>
      <c r="D78" s="65" t="s">
        <v>40</v>
      </c>
      <c r="E78" s="65" t="s">
        <v>40</v>
      </c>
      <c r="F78" s="65" t="s">
        <v>38</v>
      </c>
      <c r="G78" s="65" t="s">
        <v>38</v>
      </c>
      <c r="H78" s="65" t="s">
        <v>40</v>
      </c>
      <c r="I78" s="65" t="s">
        <v>38</v>
      </c>
      <c r="J78" s="65" t="s">
        <v>40</v>
      </c>
      <c r="K78" s="65" t="s">
        <v>40</v>
      </c>
      <c r="L78" s="65" t="s">
        <v>38</v>
      </c>
      <c r="M78" s="65" t="s">
        <v>38</v>
      </c>
      <c r="N78" s="65" t="s">
        <v>40</v>
      </c>
      <c r="O78" s="215"/>
    </row>
    <row r="79" spans="2:17" ht="18.75" thickBot="1" x14ac:dyDescent="0.3">
      <c r="B79" s="216"/>
      <c r="C79" s="66" t="s">
        <v>39</v>
      </c>
      <c r="D79" s="66" t="s">
        <v>65</v>
      </c>
      <c r="E79" s="66" t="s">
        <v>41</v>
      </c>
      <c r="F79" s="66" t="s">
        <v>50</v>
      </c>
      <c r="G79" s="66" t="s">
        <v>41</v>
      </c>
      <c r="H79" s="66" t="s">
        <v>50</v>
      </c>
      <c r="I79" s="66" t="s">
        <v>39</v>
      </c>
      <c r="J79" s="66" t="s">
        <v>51</v>
      </c>
      <c r="K79" s="66" t="s">
        <v>41</v>
      </c>
      <c r="L79" s="66" t="s">
        <v>62</v>
      </c>
      <c r="M79" s="66" t="s">
        <v>39</v>
      </c>
      <c r="N79" s="66" t="s">
        <v>51</v>
      </c>
      <c r="O79" s="216"/>
    </row>
    <row r="80" spans="2:17" ht="18.75" thickBot="1" x14ac:dyDescent="0.3">
      <c r="B80" s="68" t="s">
        <v>66</v>
      </c>
      <c r="C80" s="75">
        <v>2034.93</v>
      </c>
      <c r="D80" s="75">
        <v>6104.79</v>
      </c>
      <c r="E80" s="75">
        <v>1860</v>
      </c>
      <c r="F80" s="75">
        <v>5580</v>
      </c>
      <c r="G80" s="75">
        <v>0</v>
      </c>
      <c r="H80" s="75">
        <v>0</v>
      </c>
      <c r="I80" s="75">
        <v>2337.9299999999998</v>
      </c>
      <c r="J80" s="75">
        <v>21041.37</v>
      </c>
      <c r="K80" s="75">
        <v>2046</v>
      </c>
      <c r="L80" s="75">
        <v>18414</v>
      </c>
      <c r="M80" s="75">
        <v>0</v>
      </c>
      <c r="N80" s="75">
        <v>0</v>
      </c>
      <c r="O80" s="75">
        <f>39455.37+11684.79</f>
        <v>51140.160000000003</v>
      </c>
      <c r="Q80" s="69"/>
    </row>
    <row r="81" spans="2:17" ht="27.75" thickBot="1" x14ac:dyDescent="0.3">
      <c r="B81" s="68" t="s">
        <v>56</v>
      </c>
      <c r="C81" s="75">
        <v>679.07</v>
      </c>
      <c r="D81" s="75">
        <v>2037.21</v>
      </c>
      <c r="E81" s="75">
        <v>269.22000000000003</v>
      </c>
      <c r="F81" s="75">
        <v>807.66</v>
      </c>
      <c r="G81" s="75">
        <v>0</v>
      </c>
      <c r="H81" s="75">
        <v>0</v>
      </c>
      <c r="I81" s="75">
        <v>576.07000000000005</v>
      </c>
      <c r="J81" s="75">
        <v>5184.63</v>
      </c>
      <c r="K81" s="75">
        <v>83.22</v>
      </c>
      <c r="L81" s="75">
        <v>748.98</v>
      </c>
      <c r="M81" s="75">
        <v>0</v>
      </c>
      <c r="N81" s="75">
        <v>0</v>
      </c>
      <c r="O81" s="78">
        <v>8778.48</v>
      </c>
      <c r="Q81" s="69"/>
    </row>
    <row r="82" spans="2:17" ht="18.75" thickBot="1" x14ac:dyDescent="0.3">
      <c r="B82" s="68" t="s">
        <v>67</v>
      </c>
      <c r="C82" s="75">
        <v>400</v>
      </c>
      <c r="D82" s="75">
        <v>1200</v>
      </c>
      <c r="E82" s="75">
        <v>0</v>
      </c>
      <c r="F82" s="75">
        <v>0</v>
      </c>
      <c r="G82" s="75">
        <v>0</v>
      </c>
      <c r="H82" s="75">
        <v>0</v>
      </c>
      <c r="I82" s="88">
        <v>200</v>
      </c>
      <c r="J82" s="95">
        <v>1800</v>
      </c>
      <c r="K82" s="88">
        <v>0</v>
      </c>
      <c r="L82" s="88">
        <v>0</v>
      </c>
      <c r="M82" s="95">
        <v>0</v>
      </c>
      <c r="N82" s="95">
        <v>0</v>
      </c>
      <c r="O82" s="95">
        <f>1800+1200</f>
        <v>3000</v>
      </c>
      <c r="Q82" s="69"/>
    </row>
    <row r="83" spans="2:17" ht="27.75" thickBot="1" x14ac:dyDescent="0.3">
      <c r="B83" s="68" t="s">
        <v>68</v>
      </c>
      <c r="C83" s="75">
        <v>0</v>
      </c>
      <c r="D83" s="75">
        <v>0</v>
      </c>
      <c r="E83" s="75">
        <v>0</v>
      </c>
      <c r="F83" s="75">
        <v>0</v>
      </c>
      <c r="G83" s="75">
        <v>216.68680000000001</v>
      </c>
      <c r="H83" s="75">
        <v>650.06039999999996</v>
      </c>
      <c r="I83" s="94">
        <v>0</v>
      </c>
      <c r="J83" s="75">
        <v>0</v>
      </c>
      <c r="K83" s="94">
        <v>0</v>
      </c>
      <c r="L83" s="94">
        <v>0</v>
      </c>
      <c r="M83" s="78" t="s">
        <v>70</v>
      </c>
      <c r="N83" s="78" t="s">
        <v>71</v>
      </c>
      <c r="O83" s="75">
        <v>2600</v>
      </c>
      <c r="Q83" s="69"/>
    </row>
    <row r="84" spans="2:17" ht="18.75" thickBot="1" x14ac:dyDescent="0.3">
      <c r="B84" s="68" t="s">
        <v>69</v>
      </c>
      <c r="C84" s="75">
        <v>0</v>
      </c>
      <c r="D84" s="75">
        <v>0</v>
      </c>
      <c r="E84" s="75">
        <v>0</v>
      </c>
      <c r="F84" s="75">
        <v>0</v>
      </c>
      <c r="G84" s="75">
        <v>0</v>
      </c>
      <c r="H84" s="75">
        <v>0</v>
      </c>
      <c r="I84" s="75">
        <v>0</v>
      </c>
      <c r="J84" s="75">
        <v>0</v>
      </c>
      <c r="K84" s="75">
        <v>0</v>
      </c>
      <c r="L84" s="75">
        <v>0</v>
      </c>
      <c r="M84" s="75">
        <v>0</v>
      </c>
      <c r="N84" s="75">
        <v>0</v>
      </c>
      <c r="O84" s="75">
        <v>0</v>
      </c>
      <c r="Q84" s="69"/>
    </row>
    <row r="85" spans="2:17" ht="18.75" thickBot="1" x14ac:dyDescent="0.3">
      <c r="B85" s="68" t="s">
        <v>60</v>
      </c>
      <c r="C85" s="75">
        <v>1250</v>
      </c>
      <c r="D85" s="75">
        <v>3750</v>
      </c>
      <c r="E85" s="75">
        <v>0</v>
      </c>
      <c r="F85" s="75">
        <v>0</v>
      </c>
      <c r="G85" s="75">
        <v>0</v>
      </c>
      <c r="H85" s="75">
        <v>0</v>
      </c>
      <c r="I85" s="75">
        <v>1250</v>
      </c>
      <c r="J85" s="75">
        <v>11250</v>
      </c>
      <c r="K85" s="75">
        <v>0</v>
      </c>
      <c r="L85" s="75">
        <v>0</v>
      </c>
      <c r="M85" s="75">
        <v>0</v>
      </c>
      <c r="N85" s="75">
        <v>0</v>
      </c>
      <c r="O85" s="75">
        <f>11250+3750</f>
        <v>15000</v>
      </c>
      <c r="Q85" s="69"/>
    </row>
    <row r="86" spans="2:17" ht="15.75" thickBot="1" x14ac:dyDescent="0.3">
      <c r="B86" s="68" t="s">
        <v>19</v>
      </c>
      <c r="C86" s="75">
        <v>4364</v>
      </c>
      <c r="D86" s="75">
        <v>13092</v>
      </c>
      <c r="E86" s="75">
        <v>2129.2199999999998</v>
      </c>
      <c r="F86" s="75">
        <v>6387.66</v>
      </c>
      <c r="G86" s="75">
        <v>216.68680000000001</v>
      </c>
      <c r="H86" s="75">
        <v>650.06039999999996</v>
      </c>
      <c r="I86" s="96">
        <v>4364</v>
      </c>
      <c r="J86" s="75">
        <v>39276</v>
      </c>
      <c r="K86" s="75">
        <v>2129.2199999999998</v>
      </c>
      <c r="L86" s="75">
        <v>19162.98</v>
      </c>
      <c r="M86" s="75">
        <v>216.66</v>
      </c>
      <c r="N86" s="75">
        <v>1949.94</v>
      </c>
      <c r="O86" s="75">
        <v>80518.64</v>
      </c>
      <c r="Q86" s="69"/>
    </row>
    <row r="87" spans="2:17" x14ac:dyDescent="0.25">
      <c r="Q87" s="71"/>
    </row>
    <row r="88" spans="2:17" x14ac:dyDescent="0.25">
      <c r="Q88" s="71"/>
    </row>
    <row r="89" spans="2:17" ht="15.75" x14ac:dyDescent="0.25">
      <c r="B89" s="87"/>
      <c r="E89" s="69"/>
      <c r="F89" s="69"/>
      <c r="G89" s="69"/>
      <c r="H89" s="69"/>
      <c r="I89" s="210"/>
      <c r="J89" s="211"/>
      <c r="K89" s="71"/>
      <c r="N89" s="90"/>
      <c r="Q89" s="71"/>
    </row>
    <row r="90" spans="2:17" ht="15.75" customHeight="1" x14ac:dyDescent="0.25">
      <c r="E90" s="69"/>
      <c r="F90" s="69"/>
      <c r="G90" s="69"/>
      <c r="H90" s="69"/>
      <c r="I90" s="210"/>
      <c r="J90" s="211"/>
      <c r="K90" s="71"/>
    </row>
    <row r="91" spans="2:17" ht="18" customHeight="1" x14ac:dyDescent="0.25">
      <c r="E91" s="71"/>
      <c r="F91" s="71"/>
      <c r="G91" s="71"/>
      <c r="H91" s="71"/>
      <c r="I91" s="71"/>
      <c r="J91" s="89"/>
      <c r="K91" s="71"/>
      <c r="L91" s="90"/>
      <c r="P91" s="71"/>
    </row>
    <row r="93" spans="2:17" x14ac:dyDescent="0.25">
      <c r="F93" s="71"/>
    </row>
  </sheetData>
  <mergeCells count="20">
    <mergeCell ref="B27:N27"/>
    <mergeCell ref="B38:N38"/>
    <mergeCell ref="B14:N14"/>
    <mergeCell ref="G3:H3"/>
    <mergeCell ref="B5:N5"/>
    <mergeCell ref="B6:B7"/>
    <mergeCell ref="D6:D7"/>
    <mergeCell ref="G6:G7"/>
    <mergeCell ref="N6:N7"/>
    <mergeCell ref="O77:O79"/>
    <mergeCell ref="Q64:Q65"/>
    <mergeCell ref="B77:B79"/>
    <mergeCell ref="C77:D77"/>
    <mergeCell ref="E77:F77"/>
    <mergeCell ref="G77:H77"/>
    <mergeCell ref="I89:I90"/>
    <mergeCell ref="J89:J90"/>
    <mergeCell ref="I77:J77"/>
    <mergeCell ref="K77:L77"/>
    <mergeCell ref="M77:N77"/>
  </mergeCells>
  <pageMargins left="0.7" right="0.7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24"/>
  <sheetViews>
    <sheetView workbookViewId="0">
      <selection activeCell="Q20" sqref="Q20"/>
    </sheetView>
  </sheetViews>
  <sheetFormatPr defaultRowHeight="15" x14ac:dyDescent="0.25"/>
  <cols>
    <col min="2" max="2" width="14.140625" customWidth="1"/>
    <col min="3" max="3" width="13" customWidth="1"/>
    <col min="5" max="5" width="14.140625" customWidth="1"/>
    <col min="7" max="7" width="13.42578125" customWidth="1"/>
    <col min="8" max="8" width="13" customWidth="1"/>
    <col min="14" max="14" width="12.140625" customWidth="1"/>
  </cols>
  <sheetData>
    <row r="2" spans="2:18" x14ac:dyDescent="0.25">
      <c r="C2" t="s">
        <v>123</v>
      </c>
    </row>
    <row r="4" spans="2:18" ht="15.75" thickBot="1" x14ac:dyDescent="0.3"/>
    <row r="5" spans="2:18" ht="27.75" thickBot="1" x14ac:dyDescent="0.3">
      <c r="B5" s="62" t="s">
        <v>31</v>
      </c>
      <c r="C5" s="62" t="s">
        <v>32</v>
      </c>
      <c r="D5" s="62" t="s">
        <v>33</v>
      </c>
      <c r="E5" s="72" t="s">
        <v>34</v>
      </c>
      <c r="F5" s="64"/>
      <c r="G5" s="72" t="s">
        <v>35</v>
      </c>
      <c r="H5" s="64"/>
      <c r="I5" s="72" t="s">
        <v>36</v>
      </c>
      <c r="J5" s="63"/>
      <c r="K5" s="132" t="s">
        <v>34</v>
      </c>
      <c r="L5" s="64"/>
      <c r="M5" s="72" t="s">
        <v>35</v>
      </c>
      <c r="N5" s="64"/>
      <c r="O5" s="72" t="s">
        <v>36</v>
      </c>
      <c r="P5" s="64"/>
      <c r="Q5" s="64" t="s">
        <v>37</v>
      </c>
    </row>
    <row r="6" spans="2:18" ht="15.75" thickTop="1" x14ac:dyDescent="0.25">
      <c r="B6" s="80"/>
      <c r="C6" s="80"/>
      <c r="D6" s="80" t="s">
        <v>97</v>
      </c>
      <c r="E6" s="65" t="s">
        <v>38</v>
      </c>
      <c r="F6" s="65" t="s">
        <v>38</v>
      </c>
      <c r="G6" s="65" t="s">
        <v>40</v>
      </c>
      <c r="H6" s="65" t="s">
        <v>40</v>
      </c>
      <c r="I6" s="81" t="s">
        <v>42</v>
      </c>
      <c r="J6" s="69" t="s">
        <v>40</v>
      </c>
      <c r="K6" s="131" t="s">
        <v>38</v>
      </c>
      <c r="L6" s="65" t="s">
        <v>40</v>
      </c>
      <c r="M6" s="65" t="s">
        <v>40</v>
      </c>
      <c r="N6" s="65" t="s">
        <v>40</v>
      </c>
      <c r="O6" s="81" t="s">
        <v>42</v>
      </c>
      <c r="P6" s="65" t="s">
        <v>40</v>
      </c>
      <c r="Q6" s="76"/>
    </row>
    <row r="7" spans="2:18" ht="27.75" thickBot="1" x14ac:dyDescent="0.3">
      <c r="B7" s="68"/>
      <c r="C7" s="68"/>
      <c r="D7" s="68"/>
      <c r="E7" s="66" t="s">
        <v>39</v>
      </c>
      <c r="F7" s="67" t="s">
        <v>52</v>
      </c>
      <c r="G7" s="66" t="s">
        <v>41</v>
      </c>
      <c r="H7" s="67" t="s">
        <v>52</v>
      </c>
      <c r="I7" s="68"/>
      <c r="J7" s="70" t="s">
        <v>53</v>
      </c>
      <c r="K7" s="130" t="s">
        <v>39</v>
      </c>
      <c r="L7" s="66" t="s">
        <v>54</v>
      </c>
      <c r="M7" s="66" t="s">
        <v>41</v>
      </c>
      <c r="N7" s="66" t="s">
        <v>54</v>
      </c>
      <c r="O7" s="68"/>
      <c r="P7" s="66" t="s">
        <v>54</v>
      </c>
      <c r="Q7" s="77"/>
    </row>
    <row r="8" spans="2:18" ht="15.75" thickBot="1" x14ac:dyDescent="0.3">
      <c r="B8" s="68">
        <v>1</v>
      </c>
      <c r="C8" s="66" t="s">
        <v>45</v>
      </c>
      <c r="D8" s="66" t="s">
        <v>98</v>
      </c>
      <c r="E8" s="75">
        <v>1634.93</v>
      </c>
      <c r="F8" s="75">
        <v>4904.79</v>
      </c>
      <c r="G8" s="75">
        <v>0</v>
      </c>
      <c r="H8" s="75">
        <v>0</v>
      </c>
      <c r="I8" s="66">
        <v>0</v>
      </c>
      <c r="J8" s="70">
        <v>0</v>
      </c>
      <c r="K8" s="74">
        <f>1897.93</f>
        <v>1897.93</v>
      </c>
      <c r="L8" s="75">
        <v>17081.37</v>
      </c>
      <c r="M8" s="75">
        <v>0</v>
      </c>
      <c r="N8" s="75">
        <v>0</v>
      </c>
      <c r="O8" s="66">
        <v>0</v>
      </c>
      <c r="P8" s="66">
        <v>0</v>
      </c>
      <c r="Q8" s="75">
        <f>17081.37+4904.79</f>
        <v>21986.16</v>
      </c>
    </row>
    <row r="9" spans="2:18" ht="18.75" thickBot="1" x14ac:dyDescent="0.3">
      <c r="B9" s="68">
        <v>1</v>
      </c>
      <c r="C9" s="66" t="s">
        <v>46</v>
      </c>
      <c r="D9" s="66" t="s">
        <v>99</v>
      </c>
      <c r="E9" s="75">
        <v>0</v>
      </c>
      <c r="F9" s="75">
        <v>0</v>
      </c>
      <c r="G9" s="75">
        <v>560</v>
      </c>
      <c r="H9" s="75">
        <v>1680</v>
      </c>
      <c r="I9" s="66">
        <v>0</v>
      </c>
      <c r="J9" s="70">
        <v>0</v>
      </c>
      <c r="K9" s="74">
        <v>0</v>
      </c>
      <c r="L9" s="75">
        <v>0</v>
      </c>
      <c r="M9" s="75">
        <v>616</v>
      </c>
      <c r="N9" s="75">
        <v>5544</v>
      </c>
      <c r="O9" s="66">
        <v>0</v>
      </c>
      <c r="P9" s="66">
        <v>0</v>
      </c>
      <c r="Q9" s="75">
        <f>5544+1680</f>
        <v>7224</v>
      </c>
    </row>
    <row r="10" spans="2:18" ht="18.75" thickBot="1" x14ac:dyDescent="0.3">
      <c r="B10" s="68">
        <v>1</v>
      </c>
      <c r="C10" s="66" t="s">
        <v>48</v>
      </c>
      <c r="D10" s="66" t="s">
        <v>100</v>
      </c>
      <c r="E10" s="75">
        <v>0</v>
      </c>
      <c r="F10" s="75">
        <v>0</v>
      </c>
      <c r="G10" s="75">
        <v>1300</v>
      </c>
      <c r="H10" s="75">
        <v>3900</v>
      </c>
      <c r="I10" s="66">
        <v>0</v>
      </c>
      <c r="J10" s="70">
        <v>0</v>
      </c>
      <c r="K10" s="74">
        <v>0</v>
      </c>
      <c r="L10" s="75">
        <v>0</v>
      </c>
      <c r="M10" s="75">
        <v>1430</v>
      </c>
      <c r="N10" s="75">
        <v>12870</v>
      </c>
      <c r="O10" s="66">
        <v>0</v>
      </c>
      <c r="P10" s="66">
        <v>0</v>
      </c>
      <c r="Q10" s="75">
        <f>12870+3900</f>
        <v>16770</v>
      </c>
    </row>
    <row r="11" spans="2:18" ht="15.75" thickBot="1" x14ac:dyDescent="0.3">
      <c r="B11" s="82" t="s">
        <v>19</v>
      </c>
      <c r="C11" s="83"/>
      <c r="D11" s="84"/>
      <c r="E11" s="75">
        <f>E8</f>
        <v>1634.93</v>
      </c>
      <c r="F11" s="75">
        <f>F8</f>
        <v>4904.79</v>
      </c>
      <c r="G11" s="75">
        <v>1860</v>
      </c>
      <c r="H11" s="75">
        <v>5580</v>
      </c>
      <c r="I11" s="66">
        <v>0</v>
      </c>
      <c r="J11" s="70">
        <v>0</v>
      </c>
      <c r="K11" s="74">
        <f>K8</f>
        <v>1897.93</v>
      </c>
      <c r="L11" s="75">
        <f>L8</f>
        <v>17081.37</v>
      </c>
      <c r="M11" s="75">
        <v>2046</v>
      </c>
      <c r="N11" s="75">
        <v>18414</v>
      </c>
      <c r="O11" s="66">
        <v>0</v>
      </c>
      <c r="P11" s="66">
        <v>0</v>
      </c>
      <c r="Q11" s="78">
        <f>SUM(Q8:Q10)</f>
        <v>45980.160000000003</v>
      </c>
      <c r="R11" s="90"/>
    </row>
    <row r="12" spans="2:18" x14ac:dyDescent="0.25">
      <c r="K12" s="71"/>
      <c r="L12" s="85"/>
      <c r="M12" s="71"/>
      <c r="Q12" s="79"/>
    </row>
    <row r="14" spans="2:18" ht="15.75" thickBot="1" x14ac:dyDescent="0.3"/>
    <row r="15" spans="2:18" ht="19.5" thickBot="1" x14ac:dyDescent="0.35">
      <c r="B15" s="231" t="s">
        <v>105</v>
      </c>
      <c r="C15" s="231"/>
      <c r="D15" s="231"/>
      <c r="E15" s="231"/>
      <c r="F15" s="231"/>
      <c r="G15" s="231"/>
      <c r="H15" s="231"/>
      <c r="I15" s="231"/>
      <c r="J15" s="231"/>
      <c r="K15" s="231"/>
      <c r="L15" s="231"/>
      <c r="M15" s="231"/>
      <c r="N15" s="231"/>
    </row>
    <row r="16" spans="2:18" ht="15.75" thickBot="1" x14ac:dyDescent="0.3">
      <c r="B16" s="160" t="s">
        <v>1</v>
      </c>
      <c r="C16" s="160"/>
      <c r="D16" s="160" t="s">
        <v>22</v>
      </c>
      <c r="E16" s="160" t="s">
        <v>3</v>
      </c>
      <c r="F16" s="160" t="s">
        <v>4</v>
      </c>
      <c r="G16" s="160" t="s">
        <v>23</v>
      </c>
      <c r="H16" s="160" t="s">
        <v>106</v>
      </c>
      <c r="I16" s="161" t="s">
        <v>7</v>
      </c>
      <c r="J16" s="160" t="s">
        <v>8</v>
      </c>
      <c r="K16" s="161" t="s">
        <v>9</v>
      </c>
      <c r="L16" s="161" t="s">
        <v>10</v>
      </c>
      <c r="M16" s="161" t="s">
        <v>11</v>
      </c>
      <c r="N16" s="161" t="s">
        <v>12</v>
      </c>
    </row>
    <row r="17" spans="2:14" ht="15.75" thickBot="1" x14ac:dyDescent="0.3">
      <c r="B17" s="160"/>
      <c r="C17" s="160"/>
      <c r="D17" s="160"/>
      <c r="E17" s="162"/>
      <c r="F17" s="163">
        <v>0.08</v>
      </c>
      <c r="G17" s="160"/>
      <c r="H17" s="160"/>
      <c r="I17" s="160" t="s">
        <v>13</v>
      </c>
      <c r="J17" s="160" t="s">
        <v>13</v>
      </c>
      <c r="K17" s="161" t="s">
        <v>13</v>
      </c>
      <c r="L17" s="164">
        <v>0.08</v>
      </c>
      <c r="M17" s="161" t="s">
        <v>14</v>
      </c>
      <c r="N17" s="161"/>
    </row>
    <row r="18" spans="2:14" ht="15.75" thickBot="1" x14ac:dyDescent="0.3">
      <c r="B18" s="165" t="s">
        <v>108</v>
      </c>
      <c r="C18" s="165" t="s">
        <v>26</v>
      </c>
      <c r="D18" s="166">
        <v>1</v>
      </c>
      <c r="E18" s="18">
        <v>1227.08</v>
      </c>
      <c r="F18" s="18">
        <f>E18*F17</f>
        <v>98.166399999999996</v>
      </c>
      <c r="G18" s="19">
        <f>(E18+F18)</f>
        <v>1325.2464</v>
      </c>
      <c r="H18" s="172">
        <v>52</v>
      </c>
      <c r="I18" s="19">
        <f>E18/12</f>
        <v>102.25666666666666</v>
      </c>
      <c r="J18" s="19">
        <f>I18/3</f>
        <v>34.085555555555551</v>
      </c>
      <c r="K18" s="18">
        <f>E18/12</f>
        <v>102.25666666666666</v>
      </c>
      <c r="L18" s="19">
        <f>(I18+J18+K18)*L17</f>
        <v>19.087911111111108</v>
      </c>
      <c r="M18" s="21">
        <f>I18+J18+K18+L18</f>
        <v>257.68679999999995</v>
      </c>
      <c r="N18" s="22">
        <f>M18+G18+H18</f>
        <v>1634.9331999999999</v>
      </c>
    </row>
    <row r="20" spans="2:14" ht="15.75" thickBot="1" x14ac:dyDescent="0.3"/>
    <row r="21" spans="2:14" ht="19.5" thickBot="1" x14ac:dyDescent="0.35">
      <c r="B21" s="232" t="s">
        <v>107</v>
      </c>
      <c r="C21" s="232"/>
      <c r="D21" s="232"/>
      <c r="E21" s="232"/>
      <c r="F21" s="232"/>
      <c r="G21" s="232"/>
      <c r="H21" s="232"/>
      <c r="I21" s="232"/>
      <c r="J21" s="232"/>
      <c r="K21" s="232"/>
      <c r="L21" s="232"/>
      <c r="M21" s="232"/>
      <c r="N21" s="232"/>
    </row>
    <row r="22" spans="2:14" ht="15.75" thickBot="1" x14ac:dyDescent="0.3">
      <c r="B22" s="160" t="s">
        <v>1</v>
      </c>
      <c r="C22" s="160"/>
      <c r="D22" s="160" t="s">
        <v>22</v>
      </c>
      <c r="E22" s="160" t="s">
        <v>3</v>
      </c>
      <c r="F22" s="160" t="s">
        <v>4</v>
      </c>
      <c r="G22" s="160" t="s">
        <v>23</v>
      </c>
      <c r="H22" s="160" t="s">
        <v>106</v>
      </c>
      <c r="I22" s="161" t="s">
        <v>7</v>
      </c>
      <c r="J22" s="160" t="s">
        <v>8</v>
      </c>
      <c r="K22" s="161" t="s">
        <v>9</v>
      </c>
      <c r="L22" s="161" t="s">
        <v>10</v>
      </c>
      <c r="M22" s="161" t="s">
        <v>11</v>
      </c>
      <c r="N22" s="161" t="s">
        <v>12</v>
      </c>
    </row>
    <row r="23" spans="2:14" ht="15.75" thickBot="1" x14ac:dyDescent="0.3">
      <c r="B23" s="160"/>
      <c r="C23" s="160"/>
      <c r="D23" s="160"/>
      <c r="E23" s="162"/>
      <c r="F23" s="163">
        <v>0.08</v>
      </c>
      <c r="G23" s="160"/>
      <c r="H23" s="160"/>
      <c r="I23" s="160" t="s">
        <v>13</v>
      </c>
      <c r="J23" s="160" t="s">
        <v>13</v>
      </c>
      <c r="K23" s="161" t="s">
        <v>13</v>
      </c>
      <c r="L23" s="164">
        <v>0.08</v>
      </c>
      <c r="M23" s="161" t="s">
        <v>14</v>
      </c>
      <c r="N23" s="161"/>
    </row>
    <row r="24" spans="2:14" ht="15.75" thickBot="1" x14ac:dyDescent="0.3">
      <c r="B24" s="165" t="s">
        <v>108</v>
      </c>
      <c r="C24" s="165" t="s">
        <v>26</v>
      </c>
      <c r="D24" s="166">
        <v>1</v>
      </c>
      <c r="E24" s="167">
        <v>1471.26</v>
      </c>
      <c r="F24" s="167">
        <f>E24*F23</f>
        <v>117.7008</v>
      </c>
      <c r="G24" s="168">
        <f>(E24+F24)*D24*1</f>
        <v>1588.9608000000001</v>
      </c>
      <c r="H24" s="169"/>
      <c r="I24" s="170">
        <f>E24/12</f>
        <v>122.605</v>
      </c>
      <c r="J24" s="167">
        <f t="shared" ref="J24" si="0">I24/3</f>
        <v>40.868333333333332</v>
      </c>
      <c r="K24" s="167">
        <f>E24/12</f>
        <v>122.605</v>
      </c>
      <c r="L24" s="170">
        <f>(I24+J24+K24)*L23</f>
        <v>22.886266666666668</v>
      </c>
      <c r="M24" s="168">
        <f>I24+J24+K24+L24*1</f>
        <v>308.96459999999996</v>
      </c>
      <c r="N24" s="171">
        <f>M24+G24+H24</f>
        <v>1897.9254000000001</v>
      </c>
    </row>
  </sheetData>
  <mergeCells count="2">
    <mergeCell ref="B15:N15"/>
    <mergeCell ref="B21:N21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P14"/>
  <sheetViews>
    <sheetView workbookViewId="0">
      <selection activeCell="E15" sqref="E15"/>
    </sheetView>
  </sheetViews>
  <sheetFormatPr defaultRowHeight="15" x14ac:dyDescent="0.25"/>
  <sheetData>
    <row r="3" spans="3:16" ht="15.75" thickBot="1" x14ac:dyDescent="0.3"/>
    <row r="4" spans="3:16" ht="18" customHeight="1" thickBot="1" x14ac:dyDescent="0.3">
      <c r="C4" s="233" t="s">
        <v>55</v>
      </c>
      <c r="D4" s="236" t="s">
        <v>34</v>
      </c>
      <c r="E4" s="237"/>
      <c r="F4" s="236" t="s">
        <v>35</v>
      </c>
      <c r="G4" s="237"/>
      <c r="H4" s="236" t="s">
        <v>36</v>
      </c>
      <c r="I4" s="237"/>
      <c r="J4" s="133" t="s">
        <v>34</v>
      </c>
      <c r="K4" s="141"/>
      <c r="L4" s="133" t="s">
        <v>35</v>
      </c>
      <c r="M4" s="141"/>
      <c r="N4" s="133" t="s">
        <v>36</v>
      </c>
      <c r="O4" s="141"/>
      <c r="P4" s="134" t="s">
        <v>19</v>
      </c>
    </row>
    <row r="5" spans="3:16" ht="15.75" thickTop="1" x14ac:dyDescent="0.25">
      <c r="C5" s="234"/>
      <c r="D5" s="135" t="s">
        <v>38</v>
      </c>
      <c r="E5" s="135" t="s">
        <v>102</v>
      </c>
      <c r="F5" s="135" t="s">
        <v>102</v>
      </c>
      <c r="G5" s="135" t="s">
        <v>38</v>
      </c>
      <c r="H5" s="135" t="s">
        <v>38</v>
      </c>
      <c r="I5" s="135" t="s">
        <v>102</v>
      </c>
      <c r="J5" s="135" t="s">
        <v>38</v>
      </c>
      <c r="K5" s="135" t="s">
        <v>102</v>
      </c>
      <c r="L5" s="135" t="s">
        <v>102</v>
      </c>
      <c r="M5" s="135" t="s">
        <v>38</v>
      </c>
      <c r="N5" s="135" t="s">
        <v>38</v>
      </c>
      <c r="O5" s="135" t="s">
        <v>102</v>
      </c>
      <c r="P5" s="238"/>
    </row>
    <row r="6" spans="3:16" ht="15.75" thickBot="1" x14ac:dyDescent="0.3">
      <c r="C6" s="235"/>
      <c r="D6" s="136" t="s">
        <v>101</v>
      </c>
      <c r="E6" s="136" t="s">
        <v>50</v>
      </c>
      <c r="F6" s="136" t="s">
        <v>41</v>
      </c>
      <c r="G6" s="136" t="s">
        <v>103</v>
      </c>
      <c r="H6" s="136" t="s">
        <v>101</v>
      </c>
      <c r="I6" s="136" t="s">
        <v>50</v>
      </c>
      <c r="J6" s="136" t="s">
        <v>101</v>
      </c>
      <c r="K6" s="136" t="s">
        <v>51</v>
      </c>
      <c r="L6" s="136" t="s">
        <v>41</v>
      </c>
      <c r="M6" s="136" t="s">
        <v>104</v>
      </c>
      <c r="N6" s="136" t="s">
        <v>101</v>
      </c>
      <c r="O6" s="137" t="s">
        <v>51</v>
      </c>
      <c r="P6" s="235"/>
    </row>
    <row r="7" spans="3:16" ht="18.75" thickBot="1" x14ac:dyDescent="0.3">
      <c r="C7" s="137" t="s">
        <v>56</v>
      </c>
      <c r="D7" s="142">
        <v>679.07</v>
      </c>
      <c r="E7" s="142">
        <v>2037.21</v>
      </c>
      <c r="F7" s="142">
        <v>269.22000000000003</v>
      </c>
      <c r="G7" s="142">
        <v>807.66</v>
      </c>
      <c r="H7" s="142">
        <v>0</v>
      </c>
      <c r="I7" s="142">
        <v>0</v>
      </c>
      <c r="J7" s="143">
        <v>576.07000000000005</v>
      </c>
      <c r="K7" s="142">
        <v>5184.63</v>
      </c>
      <c r="L7" s="142">
        <v>83.22</v>
      </c>
      <c r="M7" s="142">
        <v>748.98</v>
      </c>
      <c r="N7" s="142">
        <v>0</v>
      </c>
      <c r="O7" s="142">
        <v>0</v>
      </c>
      <c r="P7" s="144">
        <f>5933.61+2844.87</f>
        <v>8778.48</v>
      </c>
    </row>
    <row r="8" spans="3:16" ht="27.75" thickBot="1" x14ac:dyDescent="0.3">
      <c r="C8" s="137" t="s">
        <v>57</v>
      </c>
      <c r="D8" s="142">
        <v>0</v>
      </c>
      <c r="E8" s="142">
        <v>0</v>
      </c>
      <c r="F8" s="142">
        <v>0</v>
      </c>
      <c r="G8" s="142">
        <v>0</v>
      </c>
      <c r="H8" s="142">
        <v>216.68680000000001</v>
      </c>
      <c r="I8" s="142">
        <v>650.06039999999996</v>
      </c>
      <c r="J8" s="142">
        <v>0</v>
      </c>
      <c r="K8" s="142">
        <v>0</v>
      </c>
      <c r="L8" s="142">
        <v>0</v>
      </c>
      <c r="M8" s="142">
        <v>0</v>
      </c>
      <c r="N8" s="142">
        <v>216.66</v>
      </c>
      <c r="O8" s="142">
        <v>0</v>
      </c>
      <c r="P8" s="144">
        <f>1949.94+650.0604</f>
        <v>2600.0003999999999</v>
      </c>
    </row>
    <row r="9" spans="3:16" ht="18.75" thickBot="1" x14ac:dyDescent="0.3">
      <c r="C9" s="137" t="s">
        <v>58</v>
      </c>
      <c r="D9" s="143">
        <v>400</v>
      </c>
      <c r="E9" s="142">
        <v>1200</v>
      </c>
      <c r="F9" s="142">
        <v>0</v>
      </c>
      <c r="G9" s="142">
        <v>0</v>
      </c>
      <c r="H9" s="142">
        <v>0</v>
      </c>
      <c r="I9" s="142">
        <v>0</v>
      </c>
      <c r="J9" s="142">
        <v>200</v>
      </c>
      <c r="K9" s="143">
        <v>1800</v>
      </c>
      <c r="L9" s="142">
        <v>0</v>
      </c>
      <c r="M9" s="142">
        <v>0</v>
      </c>
      <c r="N9" s="142">
        <v>0</v>
      </c>
      <c r="O9" s="142">
        <v>0</v>
      </c>
      <c r="P9" s="145">
        <f>1800+1200</f>
        <v>3000</v>
      </c>
    </row>
    <row r="10" spans="3:16" ht="18.75" thickBot="1" x14ac:dyDescent="0.3">
      <c r="C10" s="137" t="s">
        <v>60</v>
      </c>
      <c r="D10" s="142">
        <v>1250</v>
      </c>
      <c r="E10" s="142">
        <v>3750</v>
      </c>
      <c r="F10" s="142">
        <v>0</v>
      </c>
      <c r="G10" s="142">
        <v>0</v>
      </c>
      <c r="H10" s="142">
        <v>0</v>
      </c>
      <c r="I10" s="142">
        <v>0</v>
      </c>
      <c r="J10" s="142">
        <v>1250</v>
      </c>
      <c r="K10" s="142">
        <f>J10*9</f>
        <v>11250</v>
      </c>
      <c r="L10" s="142">
        <v>0</v>
      </c>
      <c r="M10" s="142">
        <v>0</v>
      </c>
      <c r="N10" s="142">
        <v>0</v>
      </c>
      <c r="O10" s="142">
        <v>0</v>
      </c>
      <c r="P10" s="144">
        <f>K10+E10</f>
        <v>15000</v>
      </c>
    </row>
    <row r="11" spans="3:16" x14ac:dyDescent="0.25">
      <c r="C11" s="139"/>
    </row>
    <row r="12" spans="3:16" x14ac:dyDescent="0.25">
      <c r="C12" s="140"/>
    </row>
    <row r="13" spans="3:16" x14ac:dyDescent="0.25">
      <c r="C13" s="138"/>
    </row>
    <row r="14" spans="3:16" ht="18" customHeight="1" x14ac:dyDescent="0.25"/>
  </sheetData>
  <mergeCells count="5">
    <mergeCell ref="C4:C6"/>
    <mergeCell ref="D4:E4"/>
    <mergeCell ref="F4:G4"/>
    <mergeCell ref="H4:I4"/>
    <mergeCell ref="P5:P6"/>
  </mergeCells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18"/>
  <sheetViews>
    <sheetView workbookViewId="0">
      <selection activeCell="E16" sqref="E16"/>
    </sheetView>
  </sheetViews>
  <sheetFormatPr defaultRowHeight="15" x14ac:dyDescent="0.25"/>
  <cols>
    <col min="2" max="2" width="12.140625" customWidth="1"/>
    <col min="15" max="15" width="13.85546875" bestFit="1" customWidth="1"/>
  </cols>
  <sheetData>
    <row r="2" spans="2:16" x14ac:dyDescent="0.25">
      <c r="B2" t="s">
        <v>122</v>
      </c>
    </row>
    <row r="3" spans="2:16" x14ac:dyDescent="0.25">
      <c r="B3" s="174"/>
      <c r="C3" s="71"/>
      <c r="D3" s="71"/>
      <c r="M3" s="71"/>
      <c r="N3" s="71"/>
      <c r="O3" s="71"/>
    </row>
    <row r="4" spans="2:16" ht="22.5" customHeight="1" x14ac:dyDescent="0.25">
      <c r="B4" s="239" t="s">
        <v>109</v>
      </c>
      <c r="C4" s="240"/>
      <c r="D4" s="240"/>
      <c r="E4" s="240"/>
      <c r="F4" s="240"/>
      <c r="G4" s="240"/>
      <c r="H4" s="240"/>
      <c r="I4" s="240"/>
      <c r="J4" s="240"/>
      <c r="K4" s="240"/>
      <c r="L4" s="240"/>
      <c r="M4" s="240"/>
      <c r="N4" s="240"/>
      <c r="O4" s="178"/>
      <c r="P4" s="175"/>
    </row>
    <row r="5" spans="2:16" ht="18" customHeight="1" x14ac:dyDescent="0.25">
      <c r="B5" s="182"/>
      <c r="C5" s="241" t="s">
        <v>34</v>
      </c>
      <c r="D5" s="242"/>
      <c r="E5" s="243" t="s">
        <v>35</v>
      </c>
      <c r="F5" s="244"/>
      <c r="G5" s="243" t="s">
        <v>36</v>
      </c>
      <c r="H5" s="244"/>
      <c r="I5" s="179" t="s">
        <v>34</v>
      </c>
      <c r="J5" s="187"/>
      <c r="K5" s="179" t="s">
        <v>35</v>
      </c>
      <c r="L5" s="187"/>
      <c r="M5" s="179" t="s">
        <v>36</v>
      </c>
      <c r="N5" s="182"/>
      <c r="O5" s="180" t="s">
        <v>5</v>
      </c>
    </row>
    <row r="6" spans="2:16" ht="18" x14ac:dyDescent="0.25">
      <c r="B6" s="197" t="s">
        <v>55</v>
      </c>
      <c r="C6" s="182" t="s">
        <v>38</v>
      </c>
      <c r="D6" s="187" t="s">
        <v>102</v>
      </c>
      <c r="E6" s="187" t="s">
        <v>102</v>
      </c>
      <c r="F6" s="187" t="s">
        <v>38</v>
      </c>
      <c r="G6" s="187" t="s">
        <v>38</v>
      </c>
      <c r="H6" s="187" t="s">
        <v>102</v>
      </c>
      <c r="I6" s="187" t="s">
        <v>38</v>
      </c>
      <c r="J6" s="187" t="s">
        <v>102</v>
      </c>
      <c r="K6" s="187" t="s">
        <v>102</v>
      </c>
      <c r="L6" s="187" t="s">
        <v>38</v>
      </c>
      <c r="M6" s="184" t="s">
        <v>38</v>
      </c>
      <c r="N6" s="182" t="s">
        <v>102</v>
      </c>
      <c r="O6" s="181"/>
    </row>
    <row r="7" spans="2:16" x14ac:dyDescent="0.25">
      <c r="B7" s="198"/>
      <c r="C7" s="183" t="s">
        <v>101</v>
      </c>
      <c r="D7" s="185" t="s">
        <v>110</v>
      </c>
      <c r="E7" s="185" t="s">
        <v>41</v>
      </c>
      <c r="F7" s="185" t="s">
        <v>103</v>
      </c>
      <c r="G7" s="185" t="s">
        <v>101</v>
      </c>
      <c r="H7" s="191" t="s">
        <v>50</v>
      </c>
      <c r="I7" s="191" t="s">
        <v>101</v>
      </c>
      <c r="J7" s="191" t="s">
        <v>51</v>
      </c>
      <c r="K7" s="185" t="s">
        <v>41</v>
      </c>
      <c r="L7" s="191" t="s">
        <v>51</v>
      </c>
      <c r="M7" s="185" t="s">
        <v>101</v>
      </c>
      <c r="N7" s="183" t="s">
        <v>51</v>
      </c>
      <c r="O7" s="177"/>
    </row>
    <row r="8" spans="2:16" ht="27" x14ac:dyDescent="0.25">
      <c r="B8" s="200" t="s">
        <v>111</v>
      </c>
      <c r="C8" s="189">
        <v>400</v>
      </c>
      <c r="D8" s="190">
        <v>1200</v>
      </c>
      <c r="E8" s="192">
        <v>0</v>
      </c>
      <c r="F8" s="195">
        <v>0</v>
      </c>
      <c r="G8" s="195">
        <v>0</v>
      </c>
      <c r="H8" s="195">
        <v>0</v>
      </c>
      <c r="I8" s="195">
        <v>440</v>
      </c>
      <c r="J8" s="195">
        <f>440*9</f>
        <v>3960</v>
      </c>
      <c r="K8" s="193">
        <v>0</v>
      </c>
      <c r="L8" s="192">
        <v>0</v>
      </c>
      <c r="M8" s="188">
        <v>0</v>
      </c>
      <c r="N8" s="189">
        <v>0</v>
      </c>
      <c r="O8" s="201">
        <f>J8+D8</f>
        <v>5160</v>
      </c>
    </row>
    <row r="9" spans="2:16" x14ac:dyDescent="0.25">
      <c r="B9" s="199" t="s">
        <v>19</v>
      </c>
      <c r="C9" s="189">
        <v>400</v>
      </c>
      <c r="D9" s="188">
        <v>1200</v>
      </c>
      <c r="E9" s="192">
        <v>0</v>
      </c>
      <c r="F9" s="190">
        <v>0</v>
      </c>
      <c r="G9" s="190">
        <v>0</v>
      </c>
      <c r="H9" s="190">
        <v>0</v>
      </c>
      <c r="I9" s="190">
        <v>440</v>
      </c>
      <c r="J9" s="196">
        <f>J8</f>
        <v>3960</v>
      </c>
      <c r="K9" s="194">
        <v>0</v>
      </c>
      <c r="L9" s="185">
        <v>0</v>
      </c>
      <c r="M9" s="186">
        <v>0</v>
      </c>
      <c r="N9" s="183">
        <v>0</v>
      </c>
      <c r="O9" s="202">
        <f>O8</f>
        <v>5160</v>
      </c>
    </row>
    <row r="10" spans="2:16" x14ac:dyDescent="0.25">
      <c r="B10" s="140"/>
    </row>
    <row r="14" spans="2:16" x14ac:dyDescent="0.25">
      <c r="H14" s="71"/>
      <c r="L14" s="71"/>
    </row>
    <row r="18" spans="15:15" x14ac:dyDescent="0.25">
      <c r="O18" s="71"/>
    </row>
  </sheetData>
  <mergeCells count="4">
    <mergeCell ref="B4:N4"/>
    <mergeCell ref="C5:D5"/>
    <mergeCell ref="E5:F5"/>
    <mergeCell ref="G5:H5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K19"/>
  <sheetViews>
    <sheetView workbookViewId="0">
      <selection activeCell="Q12" sqref="Q12"/>
    </sheetView>
  </sheetViews>
  <sheetFormatPr defaultRowHeight="15" x14ac:dyDescent="0.25"/>
  <sheetData>
    <row r="3" spans="2:11" x14ac:dyDescent="0.25">
      <c r="B3" t="s">
        <v>112</v>
      </c>
    </row>
    <row r="4" spans="2:11" ht="15.75" thickBot="1" x14ac:dyDescent="0.3"/>
    <row r="5" spans="2:11" ht="15.75" thickBot="1" x14ac:dyDescent="0.3">
      <c r="B5" s="245" t="s">
        <v>113</v>
      </c>
      <c r="C5" s="246"/>
      <c r="D5" s="246"/>
      <c r="E5" s="246"/>
      <c r="F5" s="246"/>
      <c r="G5" s="246"/>
      <c r="H5" s="246"/>
      <c r="I5" s="246"/>
      <c r="J5" s="246"/>
      <c r="K5" s="247"/>
    </row>
    <row r="6" spans="2:11" ht="15.75" thickBot="1" x14ac:dyDescent="0.3">
      <c r="B6" s="245"/>
      <c r="C6" s="246"/>
      <c r="D6" s="246"/>
      <c r="E6" s="246"/>
      <c r="F6" s="246"/>
      <c r="G6" s="246"/>
      <c r="H6" s="246"/>
      <c r="I6" s="246"/>
      <c r="J6" s="246"/>
      <c r="K6" s="247"/>
    </row>
    <row r="7" spans="2:11" ht="18" customHeight="1" thickBot="1" x14ac:dyDescent="0.3">
      <c r="B7" s="233" t="s">
        <v>55</v>
      </c>
      <c r="C7" s="236" t="s">
        <v>34</v>
      </c>
      <c r="D7" s="237"/>
      <c r="E7" s="236" t="s">
        <v>35</v>
      </c>
      <c r="F7" s="237"/>
      <c r="G7" s="236" t="s">
        <v>36</v>
      </c>
      <c r="H7" s="237"/>
      <c r="I7" s="236" t="s">
        <v>114</v>
      </c>
      <c r="J7" s="237"/>
      <c r="K7" s="233" t="s">
        <v>19</v>
      </c>
    </row>
    <row r="8" spans="2:11" ht="15.75" thickTop="1" x14ac:dyDescent="0.25">
      <c r="B8" s="234"/>
      <c r="C8" s="135" t="s">
        <v>38</v>
      </c>
      <c r="D8" s="135" t="s">
        <v>38</v>
      </c>
      <c r="E8" s="135" t="s">
        <v>38</v>
      </c>
      <c r="F8" s="135" t="s">
        <v>38</v>
      </c>
      <c r="G8" s="135" t="s">
        <v>38</v>
      </c>
      <c r="H8" s="135" t="s">
        <v>38</v>
      </c>
      <c r="I8" s="238" t="s">
        <v>42</v>
      </c>
      <c r="J8" s="238" t="s">
        <v>116</v>
      </c>
      <c r="K8" s="234"/>
    </row>
    <row r="9" spans="2:11" ht="15.75" thickBot="1" x14ac:dyDescent="0.3">
      <c r="B9" s="235"/>
      <c r="C9" s="136" t="s">
        <v>41</v>
      </c>
      <c r="D9" s="136" t="s">
        <v>115</v>
      </c>
      <c r="E9" s="136" t="s">
        <v>41</v>
      </c>
      <c r="F9" s="136" t="s">
        <v>115</v>
      </c>
      <c r="G9" s="136" t="s">
        <v>41</v>
      </c>
      <c r="H9" s="136" t="s">
        <v>115</v>
      </c>
      <c r="I9" s="235"/>
      <c r="J9" s="235"/>
      <c r="K9" s="235"/>
    </row>
    <row r="10" spans="2:11" ht="15.75" thickBot="1" x14ac:dyDescent="0.3">
      <c r="B10" s="137" t="s">
        <v>117</v>
      </c>
      <c r="C10" s="142">
        <v>500</v>
      </c>
      <c r="D10" s="142">
        <v>6000</v>
      </c>
      <c r="E10" s="142">
        <v>0</v>
      </c>
      <c r="F10" s="142">
        <v>0</v>
      </c>
      <c r="G10" s="142">
        <v>0</v>
      </c>
      <c r="H10" s="142">
        <v>0</v>
      </c>
      <c r="I10" s="142">
        <v>0</v>
      </c>
      <c r="J10" s="142">
        <v>0</v>
      </c>
      <c r="K10" s="144">
        <v>6000</v>
      </c>
    </row>
    <row r="11" spans="2:11" ht="15.75" thickBot="1" x14ac:dyDescent="0.3">
      <c r="B11" s="137" t="s">
        <v>118</v>
      </c>
      <c r="C11" s="142">
        <v>600</v>
      </c>
      <c r="D11" s="142">
        <v>7200</v>
      </c>
      <c r="E11" s="142">
        <v>0</v>
      </c>
      <c r="F11" s="142">
        <v>0</v>
      </c>
      <c r="G11" s="142">
        <v>0</v>
      </c>
      <c r="H11" s="142">
        <v>0</v>
      </c>
      <c r="I11" s="142">
        <v>0</v>
      </c>
      <c r="J11" s="142">
        <v>0</v>
      </c>
      <c r="K11" s="144">
        <v>7200</v>
      </c>
    </row>
    <row r="12" spans="2:11" ht="15.75" thickBot="1" x14ac:dyDescent="0.3">
      <c r="B12" s="137" t="s">
        <v>119</v>
      </c>
      <c r="C12" s="142">
        <v>50</v>
      </c>
      <c r="D12" s="142">
        <v>600</v>
      </c>
      <c r="E12" s="142">
        <v>0</v>
      </c>
      <c r="F12" s="142">
        <v>0</v>
      </c>
      <c r="G12" s="142">
        <v>0</v>
      </c>
      <c r="H12" s="142">
        <v>0</v>
      </c>
      <c r="I12" s="142">
        <v>0</v>
      </c>
      <c r="J12" s="142">
        <v>0</v>
      </c>
      <c r="K12" s="144">
        <v>600</v>
      </c>
    </row>
    <row r="13" spans="2:11" ht="15.75" thickBot="1" x14ac:dyDescent="0.3">
      <c r="B13" s="137" t="s">
        <v>120</v>
      </c>
      <c r="C13" s="142">
        <v>100</v>
      </c>
      <c r="D13" s="142">
        <v>1200</v>
      </c>
      <c r="E13" s="142">
        <v>0</v>
      </c>
      <c r="F13" s="142">
        <v>0</v>
      </c>
      <c r="G13" s="142">
        <v>0</v>
      </c>
      <c r="H13" s="142">
        <v>0</v>
      </c>
      <c r="I13" s="142">
        <v>0</v>
      </c>
      <c r="J13" s="142">
        <v>0</v>
      </c>
      <c r="K13" s="144">
        <v>1200</v>
      </c>
    </row>
    <row r="14" spans="2:11" ht="18.75" thickBot="1" x14ac:dyDescent="0.3">
      <c r="B14" s="137" t="s">
        <v>121</v>
      </c>
      <c r="C14" s="142">
        <v>0</v>
      </c>
      <c r="D14" s="142">
        <v>0</v>
      </c>
      <c r="E14" s="142">
        <v>0</v>
      </c>
      <c r="F14" s="142">
        <v>0</v>
      </c>
      <c r="G14" s="142">
        <v>0</v>
      </c>
      <c r="H14" s="142">
        <v>0</v>
      </c>
      <c r="I14" s="142">
        <v>0</v>
      </c>
      <c r="J14" s="142">
        <v>0</v>
      </c>
      <c r="K14" s="144">
        <v>0</v>
      </c>
    </row>
    <row r="15" spans="2:11" ht="15.75" thickBot="1" x14ac:dyDescent="0.3">
      <c r="B15" s="204" t="s">
        <v>19</v>
      </c>
      <c r="C15" s="142">
        <v>1250</v>
      </c>
      <c r="D15" s="142">
        <v>15000</v>
      </c>
      <c r="E15" s="142">
        <v>0</v>
      </c>
      <c r="F15" s="142">
        <v>0</v>
      </c>
      <c r="G15" s="142">
        <v>0</v>
      </c>
      <c r="H15" s="142">
        <v>0</v>
      </c>
      <c r="I15" s="142">
        <v>0</v>
      </c>
      <c r="J15" s="142">
        <v>0</v>
      </c>
      <c r="K15" s="144">
        <v>15000</v>
      </c>
    </row>
    <row r="16" spans="2:11" x14ac:dyDescent="0.25">
      <c r="B16" s="205"/>
    </row>
    <row r="17" spans="2:2" x14ac:dyDescent="0.25">
      <c r="B17" s="206"/>
    </row>
    <row r="18" spans="2:2" x14ac:dyDescent="0.25">
      <c r="B18" s="147"/>
    </row>
    <row r="19" spans="2:2" x14ac:dyDescent="0.25">
      <c r="B19" s="147"/>
    </row>
  </sheetData>
  <mergeCells count="10">
    <mergeCell ref="B5:K5"/>
    <mergeCell ref="B6:K6"/>
    <mergeCell ref="B7:B9"/>
    <mergeCell ref="C7:D7"/>
    <mergeCell ref="E7:F7"/>
    <mergeCell ref="G7:H7"/>
    <mergeCell ref="I7:J7"/>
    <mergeCell ref="K7:K9"/>
    <mergeCell ref="I8:I9"/>
    <mergeCell ref="J8:J9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30"/>
  <sheetViews>
    <sheetView workbookViewId="0">
      <selection activeCell="B1" sqref="B1:B1048576"/>
    </sheetView>
  </sheetViews>
  <sheetFormatPr defaultRowHeight="15" x14ac:dyDescent="0.25"/>
  <cols>
    <col min="3" max="3" width="12.140625" bestFit="1" customWidth="1"/>
    <col min="4" max="4" width="10.140625" customWidth="1"/>
    <col min="9" max="9" width="8.85546875" customWidth="1"/>
    <col min="10" max="10" width="9.140625" customWidth="1"/>
    <col min="16" max="17" width="13.28515625" bestFit="1" customWidth="1"/>
  </cols>
  <sheetData>
    <row r="2" spans="2:17" ht="15.75" thickBot="1" x14ac:dyDescent="0.3"/>
    <row r="3" spans="2:17" ht="18" customHeight="1" thickBot="1" x14ac:dyDescent="0.3">
      <c r="B3" s="233" t="s">
        <v>55</v>
      </c>
      <c r="C3" s="236" t="s">
        <v>34</v>
      </c>
      <c r="D3" s="237"/>
      <c r="E3" s="236" t="s">
        <v>35</v>
      </c>
      <c r="F3" s="237"/>
      <c r="G3" s="236" t="s">
        <v>36</v>
      </c>
      <c r="H3" s="248"/>
      <c r="I3" s="148" t="s">
        <v>34</v>
      </c>
      <c r="J3" s="105"/>
      <c r="K3" s="152" t="s">
        <v>35</v>
      </c>
      <c r="L3" s="105"/>
      <c r="M3" s="152" t="s">
        <v>36</v>
      </c>
      <c r="N3" s="105"/>
      <c r="O3" s="249" t="s">
        <v>37</v>
      </c>
    </row>
    <row r="4" spans="2:17" ht="15.75" thickTop="1" x14ac:dyDescent="0.25">
      <c r="B4" s="234"/>
      <c r="C4" s="135" t="s">
        <v>38</v>
      </c>
      <c r="D4" s="135" t="s">
        <v>102</v>
      </c>
      <c r="E4" s="135" t="s">
        <v>102</v>
      </c>
      <c r="F4" s="135" t="s">
        <v>38</v>
      </c>
      <c r="G4" s="135" t="s">
        <v>38</v>
      </c>
      <c r="H4" s="157" t="s">
        <v>102</v>
      </c>
      <c r="I4" s="149" t="s">
        <v>38</v>
      </c>
      <c r="J4" s="149" t="s">
        <v>102</v>
      </c>
      <c r="K4" s="149" t="s">
        <v>102</v>
      </c>
      <c r="L4" s="149" t="s">
        <v>38</v>
      </c>
      <c r="M4" s="149" t="s">
        <v>38</v>
      </c>
      <c r="N4" s="149" t="s">
        <v>102</v>
      </c>
      <c r="O4" s="250"/>
    </row>
    <row r="5" spans="2:17" ht="15.75" thickBot="1" x14ac:dyDescent="0.3">
      <c r="B5" s="235"/>
      <c r="C5" s="136" t="s">
        <v>101</v>
      </c>
      <c r="D5" s="136" t="s">
        <v>50</v>
      </c>
      <c r="E5" s="136" t="s">
        <v>41</v>
      </c>
      <c r="F5" s="136" t="s">
        <v>50</v>
      </c>
      <c r="G5" s="136" t="s">
        <v>41</v>
      </c>
      <c r="H5" s="146" t="s">
        <v>50</v>
      </c>
      <c r="I5" s="150" t="s">
        <v>101</v>
      </c>
      <c r="J5" s="150" t="s">
        <v>51</v>
      </c>
      <c r="K5" s="150" t="s">
        <v>41</v>
      </c>
      <c r="L5" s="150" t="s">
        <v>104</v>
      </c>
      <c r="M5" s="150" t="s">
        <v>101</v>
      </c>
      <c r="N5" s="150" t="s">
        <v>51</v>
      </c>
      <c r="O5" s="251"/>
    </row>
    <row r="6" spans="2:17" ht="18.75" thickBot="1" x14ac:dyDescent="0.3">
      <c r="B6" s="136" t="s">
        <v>66</v>
      </c>
      <c r="C6" s="142">
        <f>2034.93-400</f>
        <v>1634.93</v>
      </c>
      <c r="D6" s="142">
        <f>6104.79-1200</f>
        <v>4904.79</v>
      </c>
      <c r="E6" s="142">
        <v>1860</v>
      </c>
      <c r="F6" s="142">
        <v>5580</v>
      </c>
      <c r="G6" s="142">
        <v>0</v>
      </c>
      <c r="H6" s="151">
        <v>0</v>
      </c>
      <c r="I6" s="158">
        <f>2337.93-440</f>
        <v>1897.9299999999998</v>
      </c>
      <c r="J6" s="153">
        <f>I6*9</f>
        <v>17081.37</v>
      </c>
      <c r="K6" s="153">
        <v>2046</v>
      </c>
      <c r="L6" s="153">
        <v>18414</v>
      </c>
      <c r="M6" s="153">
        <v>0</v>
      </c>
      <c r="N6" s="153">
        <v>0</v>
      </c>
      <c r="O6" s="153">
        <v>45980.160000000003</v>
      </c>
      <c r="P6" s="176"/>
      <c r="Q6" s="90"/>
    </row>
    <row r="7" spans="2:17" ht="18.75" thickBot="1" x14ac:dyDescent="0.3">
      <c r="B7" s="136" t="s">
        <v>56</v>
      </c>
      <c r="C7" s="142">
        <v>679.07</v>
      </c>
      <c r="D7" s="142">
        <v>2037.21</v>
      </c>
      <c r="E7" s="142">
        <v>269.22000000000003</v>
      </c>
      <c r="F7" s="142">
        <v>807.66</v>
      </c>
      <c r="G7" s="142">
        <v>0</v>
      </c>
      <c r="H7" s="151">
        <v>0</v>
      </c>
      <c r="I7" s="158">
        <v>576.07000000000005</v>
      </c>
      <c r="J7" s="153">
        <v>5184.63</v>
      </c>
      <c r="K7" s="153">
        <v>83.22</v>
      </c>
      <c r="L7" s="153">
        <v>748.98</v>
      </c>
      <c r="M7" s="153">
        <v>0</v>
      </c>
      <c r="N7" s="153">
        <v>0</v>
      </c>
      <c r="O7" s="154">
        <f>5933.61+2844.87</f>
        <v>8778.48</v>
      </c>
      <c r="Q7" s="90"/>
    </row>
    <row r="8" spans="2:17" ht="18.75" thickBot="1" x14ac:dyDescent="0.3">
      <c r="B8" s="136" t="s">
        <v>67</v>
      </c>
      <c r="C8" s="142">
        <v>400</v>
      </c>
      <c r="D8" s="142">
        <v>1200</v>
      </c>
      <c r="E8" s="142">
        <v>0</v>
      </c>
      <c r="F8" s="142">
        <v>0</v>
      </c>
      <c r="G8" s="142">
        <v>0</v>
      </c>
      <c r="H8" s="151">
        <v>0</v>
      </c>
      <c r="I8" s="159">
        <v>200</v>
      </c>
      <c r="J8" s="155">
        <v>1800</v>
      </c>
      <c r="K8" s="155">
        <v>0</v>
      </c>
      <c r="L8" s="155">
        <v>0</v>
      </c>
      <c r="M8" s="155">
        <v>0</v>
      </c>
      <c r="N8" s="155">
        <v>0</v>
      </c>
      <c r="O8" s="156">
        <f>J8+1200</f>
        <v>3000</v>
      </c>
    </row>
    <row r="9" spans="2:17" ht="27.75" thickBot="1" x14ac:dyDescent="0.3">
      <c r="B9" s="136" t="s">
        <v>68</v>
      </c>
      <c r="C9" s="142">
        <v>0</v>
      </c>
      <c r="D9" s="142">
        <v>0</v>
      </c>
      <c r="E9" s="142">
        <v>0</v>
      </c>
      <c r="F9" s="142">
        <v>0</v>
      </c>
      <c r="G9" s="142">
        <v>216.68680000000001</v>
      </c>
      <c r="H9" s="151">
        <v>650.06039999999996</v>
      </c>
      <c r="I9" s="158">
        <v>0</v>
      </c>
      <c r="J9" s="153">
        <v>0</v>
      </c>
      <c r="K9" s="153">
        <v>0</v>
      </c>
      <c r="L9" s="153">
        <v>0</v>
      </c>
      <c r="M9" s="154">
        <v>216.66</v>
      </c>
      <c r="N9" s="154">
        <v>1949.94</v>
      </c>
      <c r="O9" s="153">
        <f>1949.94+650.06</f>
        <v>2600</v>
      </c>
    </row>
    <row r="10" spans="2:17" ht="18.75" thickBot="1" x14ac:dyDescent="0.3">
      <c r="B10" s="136" t="s">
        <v>69</v>
      </c>
      <c r="C10" s="142">
        <v>400</v>
      </c>
      <c r="D10" s="142">
        <f>C10*3</f>
        <v>1200</v>
      </c>
      <c r="E10" s="142">
        <v>0</v>
      </c>
      <c r="F10" s="142">
        <v>0</v>
      </c>
      <c r="G10" s="142">
        <v>0</v>
      </c>
      <c r="H10" s="151">
        <v>0</v>
      </c>
      <c r="I10" s="158">
        <v>440</v>
      </c>
      <c r="J10" s="153">
        <f>I10*9</f>
        <v>3960</v>
      </c>
      <c r="K10" s="153">
        <v>0</v>
      </c>
      <c r="L10" s="153">
        <v>0</v>
      </c>
      <c r="M10" s="153">
        <v>0</v>
      </c>
      <c r="N10" s="153">
        <v>0</v>
      </c>
      <c r="O10" s="153">
        <f>J10+D10</f>
        <v>5160</v>
      </c>
      <c r="Q10" s="71"/>
    </row>
    <row r="11" spans="2:17" ht="18.75" thickBot="1" x14ac:dyDescent="0.3">
      <c r="B11" s="136" t="s">
        <v>60</v>
      </c>
      <c r="C11" s="142">
        <v>1250</v>
      </c>
      <c r="D11" s="142">
        <v>3750</v>
      </c>
      <c r="E11" s="142">
        <v>0</v>
      </c>
      <c r="F11" s="142">
        <v>0</v>
      </c>
      <c r="G11" s="142">
        <v>0</v>
      </c>
      <c r="H11" s="151">
        <v>0</v>
      </c>
      <c r="I11" s="158">
        <v>1250</v>
      </c>
      <c r="J11" s="153">
        <v>11250</v>
      </c>
      <c r="K11" s="153">
        <v>0</v>
      </c>
      <c r="L11" s="153">
        <v>0</v>
      </c>
      <c r="M11" s="153">
        <v>0</v>
      </c>
      <c r="N11" s="153">
        <v>0</v>
      </c>
      <c r="O11" s="153">
        <f>11250+3750</f>
        <v>15000</v>
      </c>
    </row>
    <row r="12" spans="2:17" ht="15.75" thickBot="1" x14ac:dyDescent="0.3">
      <c r="B12" s="136" t="s">
        <v>19</v>
      </c>
      <c r="C12" s="142">
        <v>4364</v>
      </c>
      <c r="D12" s="142">
        <v>13092</v>
      </c>
      <c r="E12" s="142">
        <v>2129.2199999999998</v>
      </c>
      <c r="F12" s="142">
        <v>6387.66</v>
      </c>
      <c r="G12" s="142">
        <v>216.68680000000001</v>
      </c>
      <c r="H12" s="151">
        <v>650.06039999999996</v>
      </c>
      <c r="I12" s="158">
        <v>4364</v>
      </c>
      <c r="J12" s="153">
        <v>39276</v>
      </c>
      <c r="K12" s="153">
        <v>2129.2199999999998</v>
      </c>
      <c r="L12" s="153">
        <v>19162.98</v>
      </c>
      <c r="M12" s="153">
        <v>216.66</v>
      </c>
      <c r="N12" s="153">
        <v>1949.94</v>
      </c>
      <c r="O12" s="153">
        <f>60388.92+20129.72</f>
        <v>80518.64</v>
      </c>
      <c r="P12" s="90"/>
    </row>
    <row r="13" spans="2:17" x14ac:dyDescent="0.25">
      <c r="B13" s="139"/>
    </row>
    <row r="14" spans="2:17" x14ac:dyDescent="0.25">
      <c r="B14" s="147"/>
      <c r="C14" s="90"/>
    </row>
    <row r="15" spans="2:17" x14ac:dyDescent="0.25">
      <c r="D15" s="90"/>
      <c r="I15" s="90"/>
      <c r="J15" s="90"/>
    </row>
    <row r="18" spans="2:2" ht="18" customHeight="1" x14ac:dyDescent="0.25"/>
    <row r="29" spans="2:2" x14ac:dyDescent="0.25">
      <c r="B29" s="139"/>
    </row>
    <row r="30" spans="2:2" x14ac:dyDescent="0.25">
      <c r="B30" s="139"/>
    </row>
  </sheetData>
  <mergeCells count="5">
    <mergeCell ref="B3:B5"/>
    <mergeCell ref="C3:D3"/>
    <mergeCell ref="E3:F3"/>
    <mergeCell ref="G3:H3"/>
    <mergeCell ref="O3:O5"/>
  </mergeCells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J30"/>
  <sheetViews>
    <sheetView tabSelected="1" topLeftCell="A13" workbookViewId="0">
      <selection activeCell="C3" sqref="C3:J25"/>
    </sheetView>
  </sheetViews>
  <sheetFormatPr defaultRowHeight="15" x14ac:dyDescent="0.25"/>
  <cols>
    <col min="4" max="4" width="20.140625" customWidth="1"/>
    <col min="5" max="5" width="13.7109375" customWidth="1"/>
    <col min="7" max="7" width="11.85546875" customWidth="1"/>
    <col min="8" max="8" width="11.5703125" customWidth="1"/>
    <col min="9" max="9" width="12.140625" customWidth="1"/>
    <col min="10" max="10" width="14.28515625" customWidth="1"/>
  </cols>
  <sheetData>
    <row r="2" spans="3:10" ht="15.75" thickBot="1" x14ac:dyDescent="0.3"/>
    <row r="3" spans="3:10" ht="27.75" thickBot="1" x14ac:dyDescent="0.3">
      <c r="C3" s="233" t="s">
        <v>55</v>
      </c>
      <c r="D3" s="148" t="s">
        <v>34</v>
      </c>
      <c r="E3" s="105"/>
      <c r="F3" s="152" t="s">
        <v>35</v>
      </c>
      <c r="G3" s="105"/>
      <c r="H3" s="152" t="s">
        <v>36</v>
      </c>
      <c r="I3" s="105"/>
      <c r="J3" s="207" t="s">
        <v>37</v>
      </c>
    </row>
    <row r="4" spans="3:10" x14ac:dyDescent="0.25">
      <c r="C4" s="234"/>
      <c r="D4" s="149" t="s">
        <v>38</v>
      </c>
      <c r="E4" s="149" t="s">
        <v>102</v>
      </c>
      <c r="F4" s="149" t="s">
        <v>102</v>
      </c>
      <c r="G4" s="149" t="s">
        <v>38</v>
      </c>
      <c r="H4" s="149" t="s">
        <v>38</v>
      </c>
      <c r="I4" s="149" t="s">
        <v>102</v>
      </c>
      <c r="J4" s="208"/>
    </row>
    <row r="5" spans="3:10" ht="15.75" thickBot="1" x14ac:dyDescent="0.3">
      <c r="C5" s="235"/>
      <c r="D5" s="150" t="s">
        <v>101</v>
      </c>
      <c r="E5" s="150" t="s">
        <v>51</v>
      </c>
      <c r="F5" s="150" t="s">
        <v>41</v>
      </c>
      <c r="G5" s="150" t="s">
        <v>104</v>
      </c>
      <c r="H5" s="150" t="s">
        <v>101</v>
      </c>
      <c r="I5" s="150" t="s">
        <v>51</v>
      </c>
      <c r="J5" s="209"/>
    </row>
    <row r="6" spans="3:10" ht="18.75" thickBot="1" x14ac:dyDescent="0.3">
      <c r="C6" s="254" t="s">
        <v>66</v>
      </c>
      <c r="D6" s="158">
        <f>2337.93-440</f>
        <v>1897.9299999999998</v>
      </c>
      <c r="E6" s="153">
        <f>D6*9</f>
        <v>17081.37</v>
      </c>
      <c r="F6" s="153">
        <v>2046</v>
      </c>
      <c r="G6" s="153">
        <v>18414</v>
      </c>
      <c r="H6" s="153">
        <v>0</v>
      </c>
      <c r="I6" s="153">
        <v>0</v>
      </c>
      <c r="J6" s="153">
        <v>45980.160000000003</v>
      </c>
    </row>
    <row r="7" spans="3:10" ht="18.75" thickBot="1" x14ac:dyDescent="0.3">
      <c r="C7" s="146" t="s">
        <v>56</v>
      </c>
      <c r="D7" s="158">
        <v>576.07000000000005</v>
      </c>
      <c r="E7" s="153">
        <v>5184.63</v>
      </c>
      <c r="F7" s="255">
        <v>83.22</v>
      </c>
      <c r="G7" s="153">
        <v>748.98</v>
      </c>
      <c r="H7" s="153">
        <v>0</v>
      </c>
      <c r="I7" s="153">
        <v>0</v>
      </c>
      <c r="J7" s="154">
        <f>5933.61+2844.87</f>
        <v>8778.48</v>
      </c>
    </row>
    <row r="8" spans="3:10" ht="18.75" thickBot="1" x14ac:dyDescent="0.3">
      <c r="C8" s="146" t="s">
        <v>67</v>
      </c>
      <c r="D8" s="159">
        <v>200</v>
      </c>
      <c r="E8" s="155">
        <v>1800</v>
      </c>
      <c r="F8" s="155">
        <v>0</v>
      </c>
      <c r="G8" s="155">
        <v>0</v>
      </c>
      <c r="H8" s="155">
        <v>0</v>
      </c>
      <c r="I8" s="155">
        <v>0</v>
      </c>
      <c r="J8" s="156">
        <f>E8+1200</f>
        <v>3000</v>
      </c>
    </row>
    <row r="9" spans="3:10" ht="27.75" thickBot="1" x14ac:dyDescent="0.3">
      <c r="C9" s="146" t="s">
        <v>68</v>
      </c>
      <c r="D9" s="158">
        <v>0</v>
      </c>
      <c r="E9" s="153">
        <v>0</v>
      </c>
      <c r="F9" s="153">
        <v>0</v>
      </c>
      <c r="G9" s="153">
        <v>0</v>
      </c>
      <c r="H9" s="154">
        <v>216.66</v>
      </c>
      <c r="I9" s="154">
        <v>1949.94</v>
      </c>
      <c r="J9" s="153">
        <f>1949.94+650.06</f>
        <v>2600</v>
      </c>
    </row>
    <row r="10" spans="3:10" ht="18.75" thickBot="1" x14ac:dyDescent="0.3">
      <c r="C10" s="146" t="s">
        <v>69</v>
      </c>
      <c r="D10" s="158">
        <v>440</v>
      </c>
      <c r="E10" s="153">
        <f>D10*9</f>
        <v>3960</v>
      </c>
      <c r="F10" s="153">
        <v>0</v>
      </c>
      <c r="G10" s="153">
        <v>0</v>
      </c>
      <c r="H10" s="153">
        <v>0</v>
      </c>
      <c r="I10" s="153">
        <v>0</v>
      </c>
      <c r="J10" s="153">
        <f>E10</f>
        <v>3960</v>
      </c>
    </row>
    <row r="11" spans="3:10" ht="18.75" thickBot="1" x14ac:dyDescent="0.3">
      <c r="C11" s="146" t="s">
        <v>60</v>
      </c>
      <c r="D11" s="158">
        <v>1250</v>
      </c>
      <c r="E11" s="153">
        <v>11250</v>
      </c>
      <c r="F11" s="153">
        <v>0</v>
      </c>
      <c r="G11" s="153">
        <v>0</v>
      </c>
      <c r="H11" s="153">
        <v>0</v>
      </c>
      <c r="I11" s="153">
        <v>0</v>
      </c>
      <c r="J11" s="153">
        <f>11250+3750</f>
        <v>15000</v>
      </c>
    </row>
    <row r="12" spans="3:10" ht="15.75" thickBot="1" x14ac:dyDescent="0.3">
      <c r="C12" s="146" t="s">
        <v>19</v>
      </c>
      <c r="D12" s="158">
        <v>4364</v>
      </c>
      <c r="E12" s="153">
        <v>39276</v>
      </c>
      <c r="F12" s="153">
        <v>2129.2199999999998</v>
      </c>
      <c r="G12" s="153">
        <v>19162.98</v>
      </c>
      <c r="H12" s="153">
        <v>216.66</v>
      </c>
      <c r="I12" s="153">
        <v>1949.94</v>
      </c>
      <c r="J12" s="153">
        <f>60388.92+20129.72</f>
        <v>80518.64</v>
      </c>
    </row>
    <row r="13" spans="3:10" x14ac:dyDescent="0.25">
      <c r="C13" s="139"/>
    </row>
    <row r="14" spans="3:10" x14ac:dyDescent="0.25">
      <c r="C14" s="147"/>
    </row>
    <row r="15" spans="3:10" ht="15.75" thickBot="1" x14ac:dyDescent="0.3"/>
    <row r="16" spans="3:10" ht="27.75" thickBot="1" x14ac:dyDescent="0.3">
      <c r="C16" s="233" t="s">
        <v>55</v>
      </c>
      <c r="D16" s="148" t="s">
        <v>34</v>
      </c>
      <c r="E16" s="105"/>
      <c r="F16" s="152" t="s">
        <v>35</v>
      </c>
      <c r="G16" s="105"/>
      <c r="H16" s="152" t="s">
        <v>36</v>
      </c>
      <c r="I16" s="105"/>
      <c r="J16" s="207" t="s">
        <v>37</v>
      </c>
    </row>
    <row r="17" spans="3:10" x14ac:dyDescent="0.25">
      <c r="C17" s="234"/>
      <c r="D17" s="149" t="s">
        <v>38</v>
      </c>
      <c r="E17" s="149" t="s">
        <v>102</v>
      </c>
      <c r="F17" s="149" t="s">
        <v>102</v>
      </c>
      <c r="G17" s="149" t="s">
        <v>38</v>
      </c>
      <c r="H17" s="149" t="s">
        <v>38</v>
      </c>
      <c r="I17" s="149" t="s">
        <v>102</v>
      </c>
      <c r="J17" s="208"/>
    </row>
    <row r="18" spans="3:10" ht="15.75" thickBot="1" x14ac:dyDescent="0.3">
      <c r="C18" s="235"/>
      <c r="D18" s="150" t="s">
        <v>101</v>
      </c>
      <c r="E18" s="150" t="s">
        <v>51</v>
      </c>
      <c r="F18" s="150" t="s">
        <v>41</v>
      </c>
      <c r="G18" s="150" t="s">
        <v>104</v>
      </c>
      <c r="H18" s="150" t="s">
        <v>101</v>
      </c>
      <c r="I18" s="150" t="s">
        <v>51</v>
      </c>
      <c r="J18" s="209"/>
    </row>
    <row r="19" spans="3:10" ht="18.75" thickBot="1" x14ac:dyDescent="0.3">
      <c r="C19" s="254" t="s">
        <v>66</v>
      </c>
      <c r="D19" s="256">
        <f>2337.93-440+154</f>
        <v>2051.9299999999998</v>
      </c>
      <c r="E19" s="153">
        <f>D19*9</f>
        <v>18467.37</v>
      </c>
      <c r="F19" s="153">
        <v>2046</v>
      </c>
      <c r="G19" s="153">
        <v>18414</v>
      </c>
      <c r="H19" s="153">
        <v>0</v>
      </c>
      <c r="I19" s="153">
        <v>0</v>
      </c>
      <c r="J19" s="153">
        <v>45980.160000000003</v>
      </c>
    </row>
    <row r="20" spans="3:10" ht="18.75" thickBot="1" x14ac:dyDescent="0.3">
      <c r="C20" s="146" t="s">
        <v>56</v>
      </c>
      <c r="D20" s="256">
        <f>576.07-110-154</f>
        <v>312.07000000000005</v>
      </c>
      <c r="E20" s="153">
        <v>5184.63</v>
      </c>
      <c r="F20" s="153">
        <v>83.22</v>
      </c>
      <c r="G20" s="153">
        <v>748.98</v>
      </c>
      <c r="H20" s="153">
        <v>0</v>
      </c>
      <c r="I20" s="153">
        <v>0</v>
      </c>
      <c r="J20" s="154">
        <f>5933.61+2844.87</f>
        <v>8778.48</v>
      </c>
    </row>
    <row r="21" spans="3:10" ht="18.75" thickBot="1" x14ac:dyDescent="0.3">
      <c r="C21" s="146" t="s">
        <v>67</v>
      </c>
      <c r="D21" s="159">
        <v>200</v>
      </c>
      <c r="E21" s="155">
        <v>1800</v>
      </c>
      <c r="F21" s="155">
        <v>0</v>
      </c>
      <c r="G21" s="155">
        <v>0</v>
      </c>
      <c r="H21" s="155">
        <v>0</v>
      </c>
      <c r="I21" s="155">
        <v>0</v>
      </c>
      <c r="J21" s="156">
        <f>E21+1200</f>
        <v>3000</v>
      </c>
    </row>
    <row r="22" spans="3:10" ht="27.75" thickBot="1" x14ac:dyDescent="0.3">
      <c r="C22" s="146" t="s">
        <v>68</v>
      </c>
      <c r="D22" s="158">
        <v>0</v>
      </c>
      <c r="E22" s="153">
        <v>0</v>
      </c>
      <c r="F22" s="153">
        <v>0</v>
      </c>
      <c r="G22" s="153">
        <v>0</v>
      </c>
      <c r="H22" s="154">
        <v>216.66</v>
      </c>
      <c r="I22" s="154">
        <v>1949.94</v>
      </c>
      <c r="J22" s="153">
        <f>1949.94+650.06</f>
        <v>2600</v>
      </c>
    </row>
    <row r="23" spans="3:10" ht="18.75" thickBot="1" x14ac:dyDescent="0.3">
      <c r="C23" s="146" t="s">
        <v>69</v>
      </c>
      <c r="D23" s="256">
        <f>440+110</f>
        <v>550</v>
      </c>
      <c r="E23" s="153">
        <f>D23*9</f>
        <v>4950</v>
      </c>
      <c r="F23" s="153">
        <v>0</v>
      </c>
      <c r="G23" s="153">
        <v>0</v>
      </c>
      <c r="H23" s="153">
        <v>0</v>
      </c>
      <c r="I23" s="153">
        <v>0</v>
      </c>
      <c r="J23" s="153">
        <f>E23</f>
        <v>4950</v>
      </c>
    </row>
    <row r="24" spans="3:10" ht="18.75" thickBot="1" x14ac:dyDescent="0.3">
      <c r="C24" s="146" t="s">
        <v>60</v>
      </c>
      <c r="D24" s="158">
        <v>1250</v>
      </c>
      <c r="E24" s="153">
        <v>11250</v>
      </c>
      <c r="F24" s="153">
        <v>0</v>
      </c>
      <c r="G24" s="153">
        <v>0</v>
      </c>
      <c r="H24" s="153">
        <v>0</v>
      </c>
      <c r="I24" s="153">
        <v>0</v>
      </c>
      <c r="J24" s="153">
        <f>11250+3750</f>
        <v>15000</v>
      </c>
    </row>
    <row r="25" spans="3:10" ht="15.75" thickBot="1" x14ac:dyDescent="0.3">
      <c r="C25" s="146" t="s">
        <v>19</v>
      </c>
      <c r="D25" s="158">
        <f>SUM(D19:D24)</f>
        <v>4364</v>
      </c>
      <c r="E25" s="153">
        <v>39276</v>
      </c>
      <c r="F25" s="153">
        <f>SUM(F19:F24)</f>
        <v>2129.2199999999998</v>
      </c>
      <c r="G25" s="153">
        <v>19162.98</v>
      </c>
      <c r="H25" s="153">
        <v>216.66</v>
      </c>
      <c r="I25" s="153">
        <v>1949.94</v>
      </c>
      <c r="J25" s="153">
        <f>60388.92+20129.72</f>
        <v>80518.64</v>
      </c>
    </row>
    <row r="29" spans="3:10" x14ac:dyDescent="0.25">
      <c r="C29" s="139"/>
    </row>
    <row r="30" spans="3:10" x14ac:dyDescent="0.25">
      <c r="C30" s="139"/>
    </row>
  </sheetData>
  <mergeCells count="2">
    <mergeCell ref="C3:C5"/>
    <mergeCell ref="C16:C18"/>
  </mergeCells>
  <pageMargins left="0.511811024" right="0.511811024" top="0.78740157499999996" bottom="0.78740157499999996" header="0.31496062000000002" footer="0.31496062000000002"/>
  <pageSetup paperSize="9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V28"/>
  <sheetViews>
    <sheetView topLeftCell="A22" workbookViewId="0"/>
  </sheetViews>
  <sheetFormatPr defaultRowHeight="15" x14ac:dyDescent="0.25"/>
  <cols>
    <col min="2" max="2" width="26" customWidth="1"/>
    <col min="3" max="3" width="22.85546875" customWidth="1"/>
    <col min="4" max="4" width="13.85546875" customWidth="1"/>
    <col min="5" max="5" width="15.140625" customWidth="1"/>
    <col min="6" max="6" width="10.42578125" bestFit="1" customWidth="1"/>
    <col min="7" max="7" width="12.7109375" customWidth="1"/>
    <col min="8" max="8" width="18" customWidth="1"/>
    <col min="9" max="9" width="16" customWidth="1"/>
    <col min="10" max="10" width="19.85546875" customWidth="1"/>
    <col min="11" max="11" width="13.7109375" customWidth="1"/>
    <col min="12" max="12" width="12.140625" customWidth="1"/>
    <col min="13" max="13" width="15.5703125" customWidth="1"/>
    <col min="14" max="14" width="11.140625" customWidth="1"/>
    <col min="15" max="15" width="15" customWidth="1"/>
    <col min="16" max="16" width="19.140625" customWidth="1"/>
    <col min="17" max="17" width="14.5703125" customWidth="1"/>
    <col min="18" max="18" width="11.7109375" customWidth="1"/>
    <col min="19" max="19" width="12.7109375" customWidth="1"/>
    <col min="20" max="20" width="13.5703125" customWidth="1"/>
  </cols>
  <sheetData>
    <row r="4" spans="2:22" ht="15.75" thickBot="1" x14ac:dyDescent="0.3"/>
    <row r="5" spans="2:22" ht="27.75" thickBot="1" x14ac:dyDescent="0.3">
      <c r="B5" s="62" t="s">
        <v>31</v>
      </c>
      <c r="C5" s="62" t="s">
        <v>32</v>
      </c>
      <c r="D5" s="91" t="s">
        <v>33</v>
      </c>
      <c r="E5" s="252" t="s">
        <v>34</v>
      </c>
      <c r="F5" s="252"/>
      <c r="G5" s="252"/>
      <c r="H5" s="252"/>
      <c r="I5" s="253"/>
      <c r="J5" s="104"/>
      <c r="L5" s="72" t="s">
        <v>35</v>
      </c>
      <c r="M5" s="64"/>
      <c r="N5" s="72" t="s">
        <v>36</v>
      </c>
      <c r="O5" s="63"/>
      <c r="P5" s="73" t="s">
        <v>34</v>
      </c>
      <c r="Q5" s="64"/>
      <c r="R5" s="72" t="s">
        <v>35</v>
      </c>
      <c r="S5" s="64"/>
      <c r="T5" s="72" t="s">
        <v>36</v>
      </c>
      <c r="U5" s="64"/>
      <c r="V5" s="64" t="s">
        <v>37</v>
      </c>
    </row>
    <row r="6" spans="2:22" ht="16.5" thickTop="1" thickBot="1" x14ac:dyDescent="0.3">
      <c r="B6" s="80"/>
      <c r="C6" s="80"/>
      <c r="D6" s="92"/>
      <c r="E6" s="73" t="s">
        <v>38</v>
      </c>
      <c r="F6" s="73" t="s">
        <v>38</v>
      </c>
      <c r="G6" s="73" t="s">
        <v>38</v>
      </c>
      <c r="H6" s="73" t="s">
        <v>38</v>
      </c>
      <c r="I6" s="73" t="s">
        <v>38</v>
      </c>
      <c r="J6" s="104" t="s">
        <v>38</v>
      </c>
      <c r="L6" s="65" t="s">
        <v>40</v>
      </c>
      <c r="M6" s="65" t="s">
        <v>40</v>
      </c>
      <c r="N6" s="81" t="s">
        <v>42</v>
      </c>
      <c r="O6" s="69" t="s">
        <v>40</v>
      </c>
      <c r="P6" s="73" t="s">
        <v>38</v>
      </c>
      <c r="Q6" s="65" t="s">
        <v>40</v>
      </c>
      <c r="R6" s="65" t="s">
        <v>40</v>
      </c>
      <c r="S6" s="65" t="s">
        <v>40</v>
      </c>
      <c r="T6" s="81" t="s">
        <v>42</v>
      </c>
      <c r="U6" s="65" t="s">
        <v>40</v>
      </c>
      <c r="V6" s="76"/>
    </row>
    <row r="7" spans="2:22" ht="27.75" thickBot="1" x14ac:dyDescent="0.3">
      <c r="B7" s="68"/>
      <c r="C7" s="68"/>
      <c r="D7" s="93"/>
      <c r="E7" s="73" t="s">
        <v>39</v>
      </c>
      <c r="F7" s="106" t="s">
        <v>72</v>
      </c>
      <c r="G7" s="107" t="s">
        <v>73</v>
      </c>
      <c r="H7" s="98" t="s">
        <v>74</v>
      </c>
      <c r="I7" s="98" t="s">
        <v>75</v>
      </c>
      <c r="J7" s="105" t="s">
        <v>52</v>
      </c>
      <c r="L7" s="66" t="s">
        <v>41</v>
      </c>
      <c r="M7" s="67" t="s">
        <v>52</v>
      </c>
      <c r="N7" s="68"/>
      <c r="O7" s="70" t="s">
        <v>53</v>
      </c>
      <c r="P7" s="73" t="s">
        <v>39</v>
      </c>
      <c r="Q7" s="66" t="s">
        <v>54</v>
      </c>
      <c r="R7" s="66" t="s">
        <v>41</v>
      </c>
      <c r="S7" s="66" t="s">
        <v>54</v>
      </c>
      <c r="T7" s="68"/>
      <c r="U7" s="66" t="s">
        <v>54</v>
      </c>
      <c r="V7" s="77"/>
    </row>
    <row r="8" spans="2:22" ht="18.75" thickBot="1" x14ac:dyDescent="0.3">
      <c r="B8" s="68">
        <v>1</v>
      </c>
      <c r="C8" s="66" t="s">
        <v>43</v>
      </c>
      <c r="D8" s="66" t="s">
        <v>44</v>
      </c>
      <c r="E8" s="101">
        <v>400</v>
      </c>
      <c r="F8" s="103">
        <v>0</v>
      </c>
      <c r="G8" s="97"/>
      <c r="H8" s="74"/>
      <c r="I8" s="74"/>
      <c r="J8" s="75">
        <v>1200</v>
      </c>
      <c r="L8" s="75">
        <v>0</v>
      </c>
      <c r="M8" s="75">
        <v>0</v>
      </c>
      <c r="N8" s="66">
        <v>0</v>
      </c>
      <c r="O8" s="70">
        <v>0</v>
      </c>
      <c r="P8" s="74">
        <v>440</v>
      </c>
      <c r="Q8" s="75">
        <v>3960</v>
      </c>
      <c r="R8" s="75">
        <v>0</v>
      </c>
      <c r="S8" s="75">
        <v>0</v>
      </c>
      <c r="T8" s="66">
        <v>0</v>
      </c>
      <c r="U8" s="66">
        <v>0</v>
      </c>
      <c r="V8" s="75">
        <f>3960+1200</f>
        <v>5160</v>
      </c>
    </row>
    <row r="9" spans="2:22" ht="15.75" thickBot="1" x14ac:dyDescent="0.3">
      <c r="B9" s="68">
        <v>1</v>
      </c>
      <c r="C9" s="66" t="s">
        <v>45</v>
      </c>
      <c r="D9" s="66" t="s">
        <v>18</v>
      </c>
      <c r="E9" s="108">
        <v>1337.51</v>
      </c>
      <c r="F9" s="109">
        <v>107</v>
      </c>
      <c r="G9" s="109">
        <v>111.46</v>
      </c>
      <c r="H9" s="110">
        <v>37.15</v>
      </c>
      <c r="I9" s="110">
        <v>111.46</v>
      </c>
      <c r="J9" s="75">
        <v>4904.79</v>
      </c>
      <c r="L9" s="75">
        <v>0</v>
      </c>
      <c r="M9" s="75">
        <v>0</v>
      </c>
      <c r="N9" s="66">
        <v>0</v>
      </c>
      <c r="O9" s="70">
        <v>0</v>
      </c>
      <c r="P9" s="74">
        <v>1897.93</v>
      </c>
      <c r="Q9" s="75">
        <v>17081.37</v>
      </c>
      <c r="R9" s="75">
        <v>0</v>
      </c>
      <c r="S9" s="75">
        <v>0</v>
      </c>
      <c r="T9" s="66">
        <v>0</v>
      </c>
      <c r="U9" s="66">
        <v>0</v>
      </c>
      <c r="V9" s="75">
        <f>17081.37+4904.79</f>
        <v>21986.16</v>
      </c>
    </row>
    <row r="10" spans="2:22" ht="18.75" thickBot="1" x14ac:dyDescent="0.3">
      <c r="B10" s="68">
        <v>1</v>
      </c>
      <c r="C10" s="66" t="s">
        <v>46</v>
      </c>
      <c r="D10" s="66" t="s">
        <v>47</v>
      </c>
      <c r="E10" s="101">
        <v>0</v>
      </c>
      <c r="F10" s="102">
        <v>0</v>
      </c>
      <c r="G10" s="97"/>
      <c r="H10" s="74"/>
      <c r="I10" s="74"/>
      <c r="J10" s="75">
        <v>0</v>
      </c>
      <c r="L10" s="75">
        <v>560</v>
      </c>
      <c r="M10" s="75">
        <v>1680</v>
      </c>
      <c r="N10" s="66">
        <v>0</v>
      </c>
      <c r="O10" s="70">
        <v>0</v>
      </c>
      <c r="P10" s="74">
        <v>0</v>
      </c>
      <c r="Q10" s="75">
        <v>0</v>
      </c>
      <c r="R10" s="75">
        <v>616</v>
      </c>
      <c r="S10" s="75">
        <v>5544</v>
      </c>
      <c r="T10" s="66">
        <v>0</v>
      </c>
      <c r="U10" s="66">
        <v>0</v>
      </c>
      <c r="V10" s="75">
        <f>5544+1680</f>
        <v>7224</v>
      </c>
    </row>
    <row r="11" spans="2:22" ht="15.75" thickBot="1" x14ac:dyDescent="0.3">
      <c r="B11" s="68">
        <v>1</v>
      </c>
      <c r="C11" s="66" t="s">
        <v>48</v>
      </c>
      <c r="D11" s="66" t="s">
        <v>49</v>
      </c>
      <c r="E11" s="101">
        <v>0</v>
      </c>
      <c r="F11" s="103">
        <v>0</v>
      </c>
      <c r="G11" s="97"/>
      <c r="H11" s="74"/>
      <c r="I11" s="74"/>
      <c r="J11" s="75">
        <v>0</v>
      </c>
      <c r="L11" s="75">
        <v>1300</v>
      </c>
      <c r="M11" s="75">
        <v>3900</v>
      </c>
      <c r="N11" s="66">
        <v>0</v>
      </c>
      <c r="O11" s="70">
        <v>0</v>
      </c>
      <c r="P11" s="74">
        <v>0</v>
      </c>
      <c r="Q11" s="75">
        <v>0</v>
      </c>
      <c r="R11" s="75">
        <v>1430</v>
      </c>
      <c r="S11" s="75">
        <v>12870</v>
      </c>
      <c r="T11" s="66">
        <v>0</v>
      </c>
      <c r="U11" s="66">
        <v>0</v>
      </c>
      <c r="V11" s="75">
        <f>12870+3900</f>
        <v>16770</v>
      </c>
    </row>
    <row r="12" spans="2:22" ht="15.75" thickBot="1" x14ac:dyDescent="0.3">
      <c r="B12" s="129" t="s">
        <v>19</v>
      </c>
      <c r="C12" s="83"/>
      <c r="D12" s="84"/>
      <c r="E12" s="101">
        <v>2034.93</v>
      </c>
      <c r="F12" s="103"/>
      <c r="G12" s="97"/>
      <c r="H12" s="74"/>
      <c r="I12" s="74"/>
      <c r="J12" s="75">
        <v>6104.79</v>
      </c>
      <c r="L12" s="75">
        <v>1860</v>
      </c>
      <c r="M12" s="75">
        <v>5580</v>
      </c>
      <c r="N12" s="66">
        <v>0</v>
      </c>
      <c r="O12" s="70">
        <v>0</v>
      </c>
      <c r="P12" s="74">
        <v>2337.9299999999998</v>
      </c>
      <c r="Q12" s="75">
        <v>21041.37</v>
      </c>
      <c r="R12" s="75">
        <v>2046</v>
      </c>
      <c r="S12" s="75">
        <v>18414</v>
      </c>
      <c r="T12" s="66">
        <v>0</v>
      </c>
      <c r="U12" s="66">
        <v>0</v>
      </c>
      <c r="V12" s="78">
        <v>51140.160000000003</v>
      </c>
    </row>
    <row r="13" spans="2:22" x14ac:dyDescent="0.25">
      <c r="F13" s="100"/>
      <c r="N13" s="71"/>
      <c r="O13" s="85"/>
      <c r="P13" s="71"/>
      <c r="T13" s="79"/>
    </row>
    <row r="16" spans="2:22" ht="15.75" thickBot="1" x14ac:dyDescent="0.3">
      <c r="H16" s="71"/>
    </row>
    <row r="17" spans="1:20" ht="15.75" x14ac:dyDescent="0.25">
      <c r="A17" s="114" t="s">
        <v>31</v>
      </c>
      <c r="B17" s="111" t="s">
        <v>76</v>
      </c>
      <c r="C17" s="111" t="s">
        <v>77</v>
      </c>
      <c r="D17" s="111" t="s">
        <v>78</v>
      </c>
      <c r="E17" s="111" t="s">
        <v>79</v>
      </c>
      <c r="F17" s="111" t="s">
        <v>80</v>
      </c>
      <c r="G17" s="111" t="s">
        <v>81</v>
      </c>
      <c r="H17" s="111" t="s">
        <v>82</v>
      </c>
      <c r="I17" s="111" t="s">
        <v>84</v>
      </c>
      <c r="J17" s="111" t="s">
        <v>95</v>
      </c>
      <c r="K17" s="111" t="s">
        <v>85</v>
      </c>
      <c r="L17" s="111" t="s">
        <v>85</v>
      </c>
      <c r="M17" s="111" t="s">
        <v>79</v>
      </c>
      <c r="N17" s="111" t="s">
        <v>80</v>
      </c>
      <c r="O17" s="111" t="s">
        <v>81</v>
      </c>
      <c r="P17" s="111" t="s">
        <v>82</v>
      </c>
      <c r="Q17" s="111" t="s">
        <v>84</v>
      </c>
      <c r="R17" s="111" t="s">
        <v>95</v>
      </c>
      <c r="S17" s="111" t="s">
        <v>85</v>
      </c>
      <c r="T17" s="111" t="s">
        <v>85</v>
      </c>
    </row>
    <row r="18" spans="1:20" ht="15.75" thickBot="1" x14ac:dyDescent="0.3">
      <c r="A18" s="80"/>
      <c r="B18" s="112"/>
      <c r="C18" s="112"/>
      <c r="D18" s="112"/>
      <c r="E18" s="112"/>
      <c r="F18" s="112"/>
      <c r="G18" s="112"/>
      <c r="H18" s="112" t="s">
        <v>83</v>
      </c>
      <c r="I18" s="112"/>
      <c r="J18" s="112" t="s">
        <v>94</v>
      </c>
      <c r="K18" s="112"/>
      <c r="L18" s="112" t="s">
        <v>50</v>
      </c>
      <c r="M18" s="112"/>
      <c r="N18" s="112"/>
      <c r="O18" s="112"/>
      <c r="P18" s="112" t="s">
        <v>83</v>
      </c>
      <c r="Q18" s="112"/>
      <c r="R18" s="112" t="s">
        <v>94</v>
      </c>
      <c r="S18" s="112"/>
      <c r="T18" s="112"/>
    </row>
    <row r="19" spans="1:20" ht="15.75" thickBot="1" x14ac:dyDescent="0.3">
      <c r="A19" s="68">
        <v>1</v>
      </c>
      <c r="B19" s="97" t="s">
        <v>86</v>
      </c>
      <c r="C19" s="97" t="s">
        <v>45</v>
      </c>
      <c r="D19" s="99" t="s">
        <v>87</v>
      </c>
      <c r="E19" s="113">
        <v>1337.52</v>
      </c>
      <c r="F19" s="97"/>
      <c r="G19" s="113">
        <f>1337.52-107</f>
        <v>1230.52</v>
      </c>
      <c r="H19" s="113">
        <f>107+20.8+107</f>
        <v>234.8</v>
      </c>
      <c r="I19" s="113">
        <f>111.46+37.15</f>
        <v>148.60999999999999</v>
      </c>
      <c r="J19" s="113">
        <v>111.46</v>
      </c>
      <c r="K19" s="113">
        <f>J19+I19+H19+G19</f>
        <v>1725.3899999999999</v>
      </c>
      <c r="L19" s="113">
        <f>K19*3</f>
        <v>5176.17</v>
      </c>
      <c r="M19" s="113">
        <v>1471.26</v>
      </c>
      <c r="N19" s="97"/>
      <c r="O19" s="113">
        <f>M19</f>
        <v>1471.26</v>
      </c>
      <c r="P19" s="113">
        <f>117.7+22.88</f>
        <v>140.58000000000001</v>
      </c>
      <c r="Q19" s="113">
        <f>122.61+40.87</f>
        <v>163.47999999999999</v>
      </c>
      <c r="R19" s="113">
        <v>122.61</v>
      </c>
      <c r="S19" s="113">
        <f>R19+Q19+P19+O19</f>
        <v>1897.9299999999998</v>
      </c>
      <c r="T19" s="113">
        <f>S19*9+L19</f>
        <v>22257.54</v>
      </c>
    </row>
    <row r="20" spans="1:20" ht="30.75" thickBot="1" x14ac:dyDescent="0.3">
      <c r="A20" s="68">
        <v>1</v>
      </c>
      <c r="B20" s="125" t="s">
        <v>88</v>
      </c>
      <c r="C20" s="116" t="s">
        <v>43</v>
      </c>
      <c r="D20" s="123" t="s">
        <v>89</v>
      </c>
      <c r="E20" s="117">
        <v>400</v>
      </c>
      <c r="F20" s="120"/>
      <c r="G20" s="120">
        <v>400</v>
      </c>
      <c r="H20" s="118">
        <v>0</v>
      </c>
      <c r="I20" s="118">
        <v>0</v>
      </c>
      <c r="J20" s="119">
        <v>1200</v>
      </c>
      <c r="K20" s="121">
        <f>J20</f>
        <v>1200</v>
      </c>
      <c r="L20" s="121">
        <f>K20*3</f>
        <v>3600</v>
      </c>
      <c r="M20" s="117">
        <v>440</v>
      </c>
      <c r="N20" s="120"/>
      <c r="O20" s="120">
        <f>M20</f>
        <v>440</v>
      </c>
      <c r="P20" s="118">
        <v>0</v>
      </c>
      <c r="Q20" s="118">
        <v>0</v>
      </c>
      <c r="R20" s="119">
        <v>0</v>
      </c>
      <c r="S20" s="121">
        <f>R20</f>
        <v>0</v>
      </c>
      <c r="T20" s="121">
        <f>440*9+L20</f>
        <v>7560</v>
      </c>
    </row>
    <row r="21" spans="1:20" ht="15.75" thickBot="1" x14ac:dyDescent="0.3">
      <c r="A21" s="68">
        <v>1</v>
      </c>
      <c r="B21" s="115" t="s">
        <v>90</v>
      </c>
      <c r="C21" s="115" t="s">
        <v>46</v>
      </c>
      <c r="D21" s="124" t="s">
        <v>91</v>
      </c>
      <c r="E21" s="113">
        <v>560</v>
      </c>
      <c r="F21" s="115"/>
      <c r="G21" s="113">
        <v>560</v>
      </c>
      <c r="H21" s="113">
        <v>112</v>
      </c>
      <c r="I21" s="113">
        <v>0</v>
      </c>
      <c r="J21" s="113">
        <v>0</v>
      </c>
      <c r="K21" s="122">
        <f>G21</f>
        <v>560</v>
      </c>
      <c r="L21" s="122">
        <f>K21*3</f>
        <v>1680</v>
      </c>
      <c r="M21" s="113">
        <v>616</v>
      </c>
      <c r="N21" s="115"/>
      <c r="O21" s="113">
        <f>M21</f>
        <v>616</v>
      </c>
      <c r="P21" s="128">
        <v>123.2</v>
      </c>
      <c r="Q21" s="113">
        <v>0</v>
      </c>
      <c r="R21" s="113">
        <v>0</v>
      </c>
      <c r="S21" s="122">
        <f>O21</f>
        <v>616</v>
      </c>
      <c r="T21" s="122">
        <f>S21*9+L21</f>
        <v>7224</v>
      </c>
    </row>
    <row r="22" spans="1:20" ht="15.75" thickBot="1" x14ac:dyDescent="0.3">
      <c r="A22" s="68">
        <v>1</v>
      </c>
      <c r="B22" s="115" t="s">
        <v>92</v>
      </c>
      <c r="C22" s="115" t="s">
        <v>48</v>
      </c>
      <c r="D22" s="124" t="s">
        <v>93</v>
      </c>
      <c r="E22" s="113">
        <v>1300</v>
      </c>
      <c r="F22" s="115"/>
      <c r="G22" s="113">
        <f>E22</f>
        <v>1300</v>
      </c>
      <c r="H22" s="113">
        <v>260</v>
      </c>
      <c r="I22" s="113">
        <v>0</v>
      </c>
      <c r="J22" s="113">
        <v>0</v>
      </c>
      <c r="K22" s="122">
        <f>G22</f>
        <v>1300</v>
      </c>
      <c r="L22" s="122">
        <f>K22*3</f>
        <v>3900</v>
      </c>
      <c r="M22" s="113">
        <v>1430</v>
      </c>
      <c r="N22" s="115"/>
      <c r="O22" s="113">
        <f>M22</f>
        <v>1430</v>
      </c>
      <c r="P22" s="128">
        <v>286</v>
      </c>
      <c r="Q22" s="113">
        <v>0</v>
      </c>
      <c r="R22" s="113">
        <v>0</v>
      </c>
      <c r="S22" s="122">
        <f>O22</f>
        <v>1430</v>
      </c>
      <c r="T22" s="122">
        <f>S22*9+L22</f>
        <v>16770</v>
      </c>
    </row>
    <row r="24" spans="1:20" x14ac:dyDescent="0.25">
      <c r="T24" s="90">
        <f>SUM(T19:T22)</f>
        <v>53811.54</v>
      </c>
    </row>
    <row r="26" spans="1:20" x14ac:dyDescent="0.25">
      <c r="T26" s="126" t="s">
        <v>96</v>
      </c>
    </row>
    <row r="27" spans="1:20" x14ac:dyDescent="0.25">
      <c r="T27" s="127">
        <f>T24-51140.16</f>
        <v>2671.3799999999974</v>
      </c>
    </row>
    <row r="28" spans="1:20" x14ac:dyDescent="0.25">
      <c r="R28" s="90"/>
    </row>
  </sheetData>
  <mergeCells count="1">
    <mergeCell ref="E5:I5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19"/>
  <sheetViews>
    <sheetView topLeftCell="A10" workbookViewId="0">
      <selection activeCell="E20" sqref="E20"/>
    </sheetView>
  </sheetViews>
  <sheetFormatPr defaultRowHeight="15" x14ac:dyDescent="0.25"/>
  <cols>
    <col min="2" max="2" width="17.5703125" customWidth="1"/>
    <col min="3" max="3" width="11.140625" customWidth="1"/>
    <col min="4" max="4" width="6.42578125" customWidth="1"/>
    <col min="5" max="5" width="13.42578125" customWidth="1"/>
    <col min="6" max="6" width="12.5703125" customWidth="1"/>
    <col min="7" max="7" width="14.28515625" customWidth="1"/>
    <col min="8" max="8" width="11.5703125" customWidth="1"/>
    <col min="9" max="9" width="13.140625" customWidth="1"/>
    <col min="10" max="10" width="13.85546875" customWidth="1"/>
    <col min="11" max="11" width="13.140625" customWidth="1"/>
    <col min="12" max="12" width="11.7109375" customWidth="1"/>
    <col min="13" max="13" width="13.42578125" customWidth="1"/>
    <col min="14" max="14" width="16.28515625" customWidth="1"/>
  </cols>
  <sheetData>
    <row r="2" spans="2:14" ht="15.75" thickBot="1" x14ac:dyDescent="0.3"/>
    <row r="3" spans="2:14" ht="19.5" thickBot="1" x14ac:dyDescent="0.35">
      <c r="B3" s="231" t="s">
        <v>105</v>
      </c>
      <c r="C3" s="231"/>
      <c r="D3" s="231"/>
      <c r="E3" s="231"/>
      <c r="F3" s="231"/>
      <c r="G3" s="231"/>
      <c r="H3" s="231"/>
      <c r="I3" s="231"/>
      <c r="J3" s="231"/>
      <c r="K3" s="231"/>
      <c r="L3" s="231"/>
      <c r="M3" s="231"/>
      <c r="N3" s="231"/>
    </row>
    <row r="4" spans="2:14" ht="15.75" thickBot="1" x14ac:dyDescent="0.3">
      <c r="B4" s="160" t="s">
        <v>1</v>
      </c>
      <c r="C4" s="160"/>
      <c r="D4" s="160" t="s">
        <v>22</v>
      </c>
      <c r="E4" s="160" t="s">
        <v>3</v>
      </c>
      <c r="F4" s="160" t="s">
        <v>4</v>
      </c>
      <c r="G4" s="160" t="s">
        <v>23</v>
      </c>
      <c r="H4" s="160" t="s">
        <v>106</v>
      </c>
      <c r="I4" s="161" t="s">
        <v>7</v>
      </c>
      <c r="J4" s="160" t="s">
        <v>8</v>
      </c>
      <c r="K4" s="161" t="s">
        <v>9</v>
      </c>
      <c r="L4" s="161" t="s">
        <v>10</v>
      </c>
      <c r="M4" s="161" t="s">
        <v>11</v>
      </c>
      <c r="N4" s="161" t="s">
        <v>12</v>
      </c>
    </row>
    <row r="5" spans="2:14" ht="15.75" thickBot="1" x14ac:dyDescent="0.3">
      <c r="B5" s="160"/>
      <c r="C5" s="160"/>
      <c r="D5" s="160"/>
      <c r="E5" s="162"/>
      <c r="F5" s="163">
        <v>0.08</v>
      </c>
      <c r="G5" s="160"/>
      <c r="H5" s="160"/>
      <c r="I5" s="160" t="s">
        <v>13</v>
      </c>
      <c r="J5" s="160" t="s">
        <v>13</v>
      </c>
      <c r="K5" s="161" t="s">
        <v>13</v>
      </c>
      <c r="L5" s="164">
        <v>0.08</v>
      </c>
      <c r="M5" s="161" t="s">
        <v>14</v>
      </c>
      <c r="N5" s="161"/>
    </row>
    <row r="6" spans="2:14" ht="15.75" thickBot="1" x14ac:dyDescent="0.3">
      <c r="B6" s="165" t="s">
        <v>108</v>
      </c>
      <c r="C6" s="165" t="s">
        <v>26</v>
      </c>
      <c r="D6" s="166">
        <v>1</v>
      </c>
      <c r="E6" s="18">
        <v>1227.08</v>
      </c>
      <c r="F6" s="18">
        <f>E6*F5</f>
        <v>98.166399999999996</v>
      </c>
      <c r="G6" s="19">
        <f>(E6+F6)</f>
        <v>1325.2464</v>
      </c>
      <c r="H6" s="172">
        <v>52</v>
      </c>
      <c r="I6" s="19">
        <f>E6/12</f>
        <v>102.25666666666666</v>
      </c>
      <c r="J6" s="19">
        <f>I6/3</f>
        <v>34.085555555555551</v>
      </c>
      <c r="K6" s="18">
        <f>E6/12</f>
        <v>102.25666666666666</v>
      </c>
      <c r="L6" s="19">
        <f>(I6+J6+K6)*L5</f>
        <v>19.087911111111108</v>
      </c>
      <c r="M6" s="21">
        <f>I6+J6+K6+L6</f>
        <v>257.68679999999995</v>
      </c>
      <c r="N6" s="22">
        <f>M6+G6+H6</f>
        <v>1634.9331999999999</v>
      </c>
    </row>
    <row r="8" spans="2:14" ht="15.75" thickBot="1" x14ac:dyDescent="0.3"/>
    <row r="9" spans="2:14" ht="19.5" thickBot="1" x14ac:dyDescent="0.35">
      <c r="B9" s="232" t="s">
        <v>107</v>
      </c>
      <c r="C9" s="232"/>
      <c r="D9" s="232"/>
      <c r="E9" s="232"/>
      <c r="F9" s="232"/>
      <c r="G9" s="232"/>
      <c r="H9" s="232"/>
      <c r="I9" s="232"/>
      <c r="J9" s="232"/>
      <c r="K9" s="232"/>
      <c r="L9" s="232"/>
      <c r="M9" s="232"/>
      <c r="N9" s="232"/>
    </row>
    <row r="10" spans="2:14" ht="15.75" thickBot="1" x14ac:dyDescent="0.3">
      <c r="B10" s="160" t="s">
        <v>1</v>
      </c>
      <c r="C10" s="160"/>
      <c r="D10" s="160" t="s">
        <v>22</v>
      </c>
      <c r="E10" s="160" t="s">
        <v>3</v>
      </c>
      <c r="F10" s="160" t="s">
        <v>4</v>
      </c>
      <c r="G10" s="160" t="s">
        <v>23</v>
      </c>
      <c r="H10" s="160" t="s">
        <v>106</v>
      </c>
      <c r="I10" s="161" t="s">
        <v>7</v>
      </c>
      <c r="J10" s="160" t="s">
        <v>8</v>
      </c>
      <c r="K10" s="161" t="s">
        <v>9</v>
      </c>
      <c r="L10" s="161" t="s">
        <v>10</v>
      </c>
      <c r="M10" s="161" t="s">
        <v>11</v>
      </c>
      <c r="N10" s="161" t="s">
        <v>12</v>
      </c>
    </row>
    <row r="11" spans="2:14" ht="15.75" thickBot="1" x14ac:dyDescent="0.3">
      <c r="B11" s="160"/>
      <c r="C11" s="160"/>
      <c r="D11" s="160"/>
      <c r="E11" s="162"/>
      <c r="F11" s="163">
        <v>0.08</v>
      </c>
      <c r="G11" s="160"/>
      <c r="H11" s="160"/>
      <c r="I11" s="160" t="s">
        <v>13</v>
      </c>
      <c r="J11" s="160" t="s">
        <v>13</v>
      </c>
      <c r="K11" s="161" t="s">
        <v>13</v>
      </c>
      <c r="L11" s="164">
        <v>0.08</v>
      </c>
      <c r="M11" s="161" t="s">
        <v>14</v>
      </c>
      <c r="N11" s="161"/>
    </row>
    <row r="12" spans="2:14" ht="15.75" thickBot="1" x14ac:dyDescent="0.3">
      <c r="B12" s="165" t="s">
        <v>108</v>
      </c>
      <c r="C12" s="165" t="s">
        <v>26</v>
      </c>
      <c r="D12" s="166">
        <v>1</v>
      </c>
      <c r="E12" s="167">
        <v>1471.26</v>
      </c>
      <c r="F12" s="167">
        <f>E12*F11</f>
        <v>117.7008</v>
      </c>
      <c r="G12" s="168">
        <f>(E12+F12)*D12*1</f>
        <v>1588.9608000000001</v>
      </c>
      <c r="H12" s="169"/>
      <c r="I12" s="170">
        <f>E12/12</f>
        <v>122.605</v>
      </c>
      <c r="J12" s="167">
        <f t="shared" ref="J12" si="0">I12/3</f>
        <v>40.868333333333332</v>
      </c>
      <c r="K12" s="167">
        <f>E12/12</f>
        <v>122.605</v>
      </c>
      <c r="L12" s="170">
        <f>(I12+J12+K12)*L11</f>
        <v>22.886266666666668</v>
      </c>
      <c r="M12" s="168">
        <f>I12+J12+K12+L12*1</f>
        <v>308.96459999999996</v>
      </c>
      <c r="N12" s="171">
        <f>M12+G12+H12</f>
        <v>1897.9254000000001</v>
      </c>
    </row>
    <row r="15" spans="2:14" ht="15.75" thickBot="1" x14ac:dyDescent="0.3"/>
    <row r="16" spans="2:14" ht="19.5" thickBot="1" x14ac:dyDescent="0.35">
      <c r="B16" s="232" t="s">
        <v>124</v>
      </c>
      <c r="C16" s="232"/>
      <c r="D16" s="232"/>
      <c r="E16" s="232"/>
      <c r="F16" s="232"/>
      <c r="G16" s="232"/>
      <c r="H16" s="232"/>
      <c r="I16" s="232"/>
      <c r="J16" s="232"/>
      <c r="K16" s="232"/>
      <c r="L16" s="232"/>
      <c r="M16" s="232"/>
      <c r="N16" s="232"/>
    </row>
    <row r="17" spans="2:14" ht="15.75" thickBot="1" x14ac:dyDescent="0.3">
      <c r="B17" s="160" t="s">
        <v>1</v>
      </c>
      <c r="C17" s="160"/>
      <c r="D17" s="160" t="s">
        <v>22</v>
      </c>
      <c r="E17" s="160" t="s">
        <v>3</v>
      </c>
      <c r="F17" s="160" t="s">
        <v>4</v>
      </c>
      <c r="G17" s="160" t="s">
        <v>23</v>
      </c>
      <c r="H17" s="160" t="s">
        <v>106</v>
      </c>
      <c r="I17" s="161" t="s">
        <v>7</v>
      </c>
      <c r="J17" s="160" t="s">
        <v>8</v>
      </c>
      <c r="K17" s="161" t="s">
        <v>9</v>
      </c>
      <c r="L17" s="161" t="s">
        <v>10</v>
      </c>
      <c r="M17" s="161" t="s">
        <v>11</v>
      </c>
      <c r="N17" s="161" t="s">
        <v>12</v>
      </c>
    </row>
    <row r="18" spans="2:14" ht="15.75" thickBot="1" x14ac:dyDescent="0.3">
      <c r="B18" s="160"/>
      <c r="C18" s="160"/>
      <c r="D18" s="160"/>
      <c r="E18" s="162"/>
      <c r="F18" s="163">
        <v>0.08</v>
      </c>
      <c r="G18" s="160"/>
      <c r="H18" s="160"/>
      <c r="I18" s="160" t="s">
        <v>13</v>
      </c>
      <c r="J18" s="160" t="s">
        <v>13</v>
      </c>
      <c r="K18" s="161" t="s">
        <v>13</v>
      </c>
      <c r="L18" s="164">
        <v>0.08</v>
      </c>
      <c r="M18" s="161" t="s">
        <v>14</v>
      </c>
      <c r="N18" s="161"/>
    </row>
    <row r="19" spans="2:14" ht="15.75" thickBot="1" x14ac:dyDescent="0.3">
      <c r="B19" s="165" t="s">
        <v>108</v>
      </c>
      <c r="C19" s="165" t="s">
        <v>26</v>
      </c>
      <c r="D19" s="166">
        <v>1</v>
      </c>
      <c r="E19" s="167">
        <v>1618.39</v>
      </c>
      <c r="F19" s="167">
        <f>E19*F18</f>
        <v>129.47120000000001</v>
      </c>
      <c r="G19" s="168">
        <f>(E19+F19)*D19*1</f>
        <v>1747.8612000000001</v>
      </c>
      <c r="H19" s="169"/>
      <c r="I19" s="170">
        <f>E19/12</f>
        <v>134.86583333333334</v>
      </c>
      <c r="J19" s="167">
        <f t="shared" ref="J19" si="1">I19/3</f>
        <v>44.955277777777781</v>
      </c>
      <c r="K19" s="167">
        <f>E19/12</f>
        <v>134.86583333333334</v>
      </c>
      <c r="L19" s="170">
        <f>(I19+J19+K19)*L18</f>
        <v>25.174955555555556</v>
      </c>
      <c r="M19" s="168">
        <f>I19+J19+K19+L19*1</f>
        <v>339.86189999999999</v>
      </c>
      <c r="N19" s="171">
        <f>M19+G19+H19</f>
        <v>2087.7231000000002</v>
      </c>
    </row>
  </sheetData>
  <mergeCells count="3">
    <mergeCell ref="B3:N3"/>
    <mergeCell ref="B9:N9"/>
    <mergeCell ref="B16:N16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9</vt:i4>
      </vt:variant>
      <vt:variant>
        <vt:lpstr>Intervalos nomeados</vt:lpstr>
      </vt:variant>
      <vt:variant>
        <vt:i4>1</vt:i4>
      </vt:variant>
    </vt:vector>
  </HeadingPairs>
  <TitlesOfParts>
    <vt:vector size="10" baseType="lpstr">
      <vt:lpstr>Plan1</vt:lpstr>
      <vt:lpstr>Tabela 6</vt:lpstr>
      <vt:lpstr>Tabela 7 </vt:lpstr>
      <vt:lpstr>Tabela 8</vt:lpstr>
      <vt:lpstr>Tabela 9</vt:lpstr>
      <vt:lpstr>Tabela 10</vt:lpstr>
      <vt:lpstr>APOSTILAMENTO</vt:lpstr>
      <vt:lpstr>Plan2</vt:lpstr>
      <vt:lpstr>Serviços Gerais</vt:lpstr>
      <vt:lpstr>Plan1!Area_de_impressao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2023-05-29T11:34:49Z</dcterms:modified>
</cp:coreProperties>
</file>